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1\"/>
    </mc:Choice>
  </mc:AlternateContent>
  <workbookProtection workbookAlgorithmName="SHA-512" workbookHashValue="7P5F08HuMW4nWzR4CVfkPQ/yMxFPKdKvrRdz+a3zbayz6S3X31jKpqCPykkGjpRUa8+S4E9bBfVqv6ikpo5WFQ==" workbookSaltValue="6XWrKfEtV9B3Uo83F/1bcA==" workbookSpinCount="100000" lockStructure="1"/>
  <bookViews>
    <workbookView xWindow="0" yWindow="0" windowWidth="28800" windowHeight="12210"/>
  </bookViews>
  <sheets>
    <sheet name="INVENTARIO ABRIL-JUNI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T243" i="1" l="1"/>
  <c r="T233" i="1"/>
  <c r="T132" i="1"/>
  <c r="T197" i="1"/>
  <c r="T242" i="1"/>
  <c r="J764" i="1" l="1"/>
  <c r="U764" i="1" s="1"/>
  <c r="V764" i="1" s="1"/>
  <c r="W764" i="1" s="1"/>
  <c r="X764" i="1" s="1"/>
  <c r="Y764" i="1" s="1"/>
  <c r="AC764" i="1"/>
  <c r="AB249" i="1"/>
  <c r="J249" i="1"/>
  <c r="U249" i="1" s="1"/>
  <c r="V249" i="1" s="1"/>
  <c r="W249" i="1" s="1"/>
  <c r="X249" i="1" s="1"/>
  <c r="Y249" i="1" s="1"/>
  <c r="AC249" i="1" s="1"/>
  <c r="H792" i="1"/>
  <c r="J792" i="1"/>
  <c r="T224" i="1" l="1"/>
  <c r="T283" i="1"/>
  <c r="T235" i="1"/>
  <c r="T201" i="1"/>
  <c r="T208" i="1"/>
  <c r="S791" i="1" l="1"/>
  <c r="T770" i="1" l="1"/>
  <c r="J878" i="1" l="1"/>
  <c r="U878" i="1" s="1"/>
  <c r="V878" i="1" s="1"/>
  <c r="W878" i="1" s="1"/>
  <c r="X878" i="1" s="1"/>
  <c r="Y878" i="1" s="1"/>
  <c r="AC878" i="1" s="1"/>
  <c r="J876" i="1"/>
  <c r="U876" i="1" s="1"/>
  <c r="V876" i="1" s="1"/>
  <c r="W876" i="1" s="1"/>
  <c r="X876" i="1" s="1"/>
  <c r="Y876" i="1" s="1"/>
  <c r="AC876" i="1" l="1"/>
  <c r="T869" i="1"/>
  <c r="T79" i="1" l="1"/>
  <c r="P650" i="1" l="1"/>
  <c r="AB330" i="1" l="1"/>
  <c r="AB200" i="1"/>
  <c r="AB201" i="1"/>
  <c r="AB202" i="1"/>
  <c r="AB203" i="1"/>
  <c r="AB204" i="1"/>
  <c r="AB205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O208" i="1"/>
  <c r="T864" i="1" l="1"/>
  <c r="T35" i="1"/>
  <c r="T246" i="1"/>
  <c r="T330" i="1"/>
  <c r="T210" i="1"/>
  <c r="T768" i="1"/>
  <c r="T754" i="1"/>
  <c r="T135" i="1"/>
  <c r="T141" i="1"/>
  <c r="T54" i="1"/>
  <c r="T808" i="1" l="1"/>
  <c r="T295" i="1" l="1"/>
  <c r="L297" i="1" l="1"/>
  <c r="L296" i="1"/>
  <c r="I295" i="1"/>
  <c r="J295" i="1"/>
  <c r="T234" i="1"/>
  <c r="T223" i="1"/>
  <c r="T199" i="1"/>
  <c r="T200" i="1"/>
  <c r="T198" i="1"/>
  <c r="O197" i="1"/>
  <c r="T275" i="1" l="1"/>
  <c r="T281" i="1"/>
  <c r="T93" i="1" l="1"/>
  <c r="T146" i="1"/>
  <c r="T305" i="1"/>
  <c r="T278" i="1"/>
  <c r="T227" i="1"/>
  <c r="T101" i="1"/>
  <c r="T137" i="1"/>
  <c r="T28" i="1"/>
  <c r="T272" i="1"/>
  <c r="T294" i="1"/>
  <c r="T298" i="1"/>
  <c r="T255" i="1"/>
  <c r="T276" i="1"/>
  <c r="T148" i="1" l="1"/>
  <c r="T290" i="1"/>
  <c r="T225" i="1"/>
  <c r="T67" i="1"/>
  <c r="T147" i="1"/>
  <c r="T49" i="1"/>
  <c r="T18" i="1"/>
  <c r="T783" i="1" l="1"/>
  <c r="T660" i="1"/>
  <c r="T422" i="1"/>
  <c r="T211" i="1" l="1"/>
  <c r="T218" i="1"/>
  <c r="T271" i="1"/>
  <c r="T268" i="1"/>
  <c r="T289" i="1" l="1"/>
  <c r="T153" i="1"/>
  <c r="T69" i="1"/>
  <c r="T64" i="1"/>
  <c r="T172" i="1"/>
  <c r="J146" i="1" l="1"/>
  <c r="T217" i="1" l="1"/>
  <c r="T102" i="1" l="1"/>
  <c r="T142" i="1"/>
  <c r="T144" i="1"/>
  <c r="T139" i="1"/>
  <c r="T259" i="1" l="1"/>
  <c r="T168" i="1" l="1"/>
  <c r="T164" i="1"/>
  <c r="T81" i="1"/>
  <c r="T84" i="1" l="1"/>
  <c r="T98" i="1"/>
  <c r="T209" i="1"/>
  <c r="T126" i="1"/>
  <c r="O330" i="1" l="1"/>
  <c r="J330" i="1"/>
  <c r="U330" i="1" s="1"/>
  <c r="V330" i="1" s="1"/>
  <c r="W330" i="1" s="1"/>
  <c r="X330" i="1" s="1"/>
  <c r="J231" i="1"/>
  <c r="U231" i="1" s="1"/>
  <c r="V231" i="1" s="1"/>
  <c r="W231" i="1" s="1"/>
  <c r="X231" i="1" s="1"/>
  <c r="Y231" i="1" s="1"/>
  <c r="AC231" i="1" s="1"/>
  <c r="J236" i="1"/>
  <c r="J221" i="1"/>
  <c r="J205" i="1"/>
  <c r="U205" i="1" s="1"/>
  <c r="V205" i="1" s="1"/>
  <c r="W205" i="1" s="1"/>
  <c r="X205" i="1" s="1"/>
  <c r="Y205" i="1" s="1"/>
  <c r="AC205" i="1" s="1"/>
  <c r="O201" i="1"/>
  <c r="O200" i="1"/>
  <c r="J200" i="1"/>
  <c r="U200" i="1" s="1"/>
  <c r="V200" i="1" s="1"/>
  <c r="W200" i="1" s="1"/>
  <c r="X200" i="1" s="1"/>
  <c r="Y200" i="1" s="1"/>
  <c r="AC200" i="1" s="1"/>
  <c r="J201" i="1"/>
  <c r="U201" i="1" s="1"/>
  <c r="V201" i="1" s="1"/>
  <c r="W201" i="1" s="1"/>
  <c r="X201" i="1" s="1"/>
  <c r="T207" i="1"/>
  <c r="Y330" i="1" l="1"/>
  <c r="AC330" i="1" s="1"/>
  <c r="U221" i="1"/>
  <c r="V221" i="1" s="1"/>
  <c r="W221" i="1" s="1"/>
  <c r="X221" i="1" s="1"/>
  <c r="Y221" i="1" s="1"/>
  <c r="AC221" i="1" s="1"/>
  <c r="U236" i="1"/>
  <c r="V236" i="1" s="1"/>
  <c r="W236" i="1" s="1"/>
  <c r="X236" i="1" s="1"/>
  <c r="Y236" i="1" s="1"/>
  <c r="AC236" i="1" s="1"/>
  <c r="Y201" i="1"/>
  <c r="AC201" i="1" s="1"/>
  <c r="T538" i="1"/>
  <c r="T418" i="1"/>
  <c r="T452" i="1"/>
  <c r="T60" i="1" l="1"/>
  <c r="T143" i="1"/>
  <c r="T176" i="1"/>
  <c r="T20" i="1" l="1"/>
  <c r="J127" i="1" l="1"/>
  <c r="J139" i="1"/>
  <c r="T76" i="1" l="1"/>
  <c r="T74" i="1"/>
  <c r="T447" i="1" l="1"/>
  <c r="T377" i="1"/>
  <c r="T530" i="1"/>
  <c r="T529" i="1"/>
  <c r="T57" i="1"/>
  <c r="T230" i="1"/>
  <c r="T254" i="1" l="1"/>
  <c r="T158" i="1"/>
  <c r="T549" i="1" l="1"/>
  <c r="T429" i="1"/>
  <c r="T13" i="1"/>
  <c r="T699" i="1"/>
  <c r="T774" i="1"/>
  <c r="T109" i="1"/>
  <c r="T108" i="1"/>
  <c r="T11" i="1"/>
  <c r="T136" i="1"/>
  <c r="J212" i="1" l="1"/>
  <c r="U212" i="1" s="1"/>
  <c r="V212" i="1" s="1"/>
  <c r="W212" i="1" s="1"/>
  <c r="X212" i="1" s="1"/>
  <c r="Y212" i="1" s="1"/>
  <c r="AC212" i="1" s="1"/>
  <c r="J218" i="1"/>
  <c r="U218" i="1" s="1"/>
  <c r="V218" i="1" s="1"/>
  <c r="W218" i="1" s="1"/>
  <c r="X218" i="1" s="1"/>
  <c r="Y218" i="1" s="1"/>
  <c r="AC218" i="1" s="1"/>
  <c r="J215" i="1"/>
  <c r="U215" i="1" s="1"/>
  <c r="V215" i="1" s="1"/>
  <c r="W215" i="1" s="1"/>
  <c r="X215" i="1" s="1"/>
  <c r="Y215" i="1" s="1"/>
  <c r="AC215" i="1" s="1"/>
  <c r="J210" i="1"/>
  <c r="O235" i="1"/>
  <c r="J235" i="1"/>
  <c r="U235" i="1" s="1"/>
  <c r="V235" i="1" s="1"/>
  <c r="W235" i="1" s="1"/>
  <c r="X235" i="1" s="1"/>
  <c r="Y235" i="1" s="1"/>
  <c r="AC235" i="1" s="1"/>
  <c r="J224" i="1"/>
  <c r="U224" i="1" s="1"/>
  <c r="V224" i="1" s="1"/>
  <c r="W224" i="1" s="1"/>
  <c r="X224" i="1" s="1"/>
  <c r="Y224" i="1" s="1"/>
  <c r="AC224" i="1" s="1"/>
  <c r="J208" i="1"/>
  <c r="U208" i="1" s="1"/>
  <c r="V208" i="1" s="1"/>
  <c r="W208" i="1" s="1"/>
  <c r="X208" i="1" s="1"/>
  <c r="J847" i="1"/>
  <c r="AC847" i="1" s="1"/>
  <c r="J848" i="1"/>
  <c r="AC848" i="1" s="1"/>
  <c r="J849" i="1"/>
  <c r="AC849" i="1" s="1"/>
  <c r="J358" i="1"/>
  <c r="U358" i="1" s="1"/>
  <c r="V358" i="1" s="1"/>
  <c r="W358" i="1" s="1"/>
  <c r="X358" i="1" s="1"/>
  <c r="Y358" i="1" s="1"/>
  <c r="O869" i="1"/>
  <c r="J871" i="1"/>
  <c r="U871" i="1" s="1"/>
  <c r="V871" i="1" s="1"/>
  <c r="W871" i="1" s="1"/>
  <c r="X871" i="1" s="1"/>
  <c r="Y871" i="1" s="1"/>
  <c r="J868" i="1"/>
  <c r="U868" i="1" s="1"/>
  <c r="V868" i="1" s="1"/>
  <c r="W868" i="1" s="1"/>
  <c r="X868" i="1" s="1"/>
  <c r="Y868" i="1" s="1"/>
  <c r="J869" i="1"/>
  <c r="U869" i="1" s="1"/>
  <c r="V869" i="1" s="1"/>
  <c r="W869" i="1" s="1"/>
  <c r="X869" i="1" s="1"/>
  <c r="AB837" i="1"/>
  <c r="AB838" i="1"/>
  <c r="AB839" i="1"/>
  <c r="AB840" i="1"/>
  <c r="AB841" i="1"/>
  <c r="AB842" i="1"/>
  <c r="AB844" i="1"/>
  <c r="AB846" i="1"/>
  <c r="AB850" i="1"/>
  <c r="AB851" i="1"/>
  <c r="J837" i="1"/>
  <c r="U837" i="1" s="1"/>
  <c r="V837" i="1" s="1"/>
  <c r="W837" i="1" s="1"/>
  <c r="X837" i="1" s="1"/>
  <c r="Y837" i="1" s="1"/>
  <c r="AC837" i="1" s="1"/>
  <c r="J838" i="1"/>
  <c r="U838" i="1" s="1"/>
  <c r="V838" i="1" s="1"/>
  <c r="W838" i="1" s="1"/>
  <c r="X838" i="1" s="1"/>
  <c r="Y838" i="1" s="1"/>
  <c r="AC838" i="1" s="1"/>
  <c r="J839" i="1"/>
  <c r="U839" i="1" s="1"/>
  <c r="V839" i="1" s="1"/>
  <c r="W839" i="1" s="1"/>
  <c r="X839" i="1" s="1"/>
  <c r="Y839" i="1" s="1"/>
  <c r="AC839" i="1" s="1"/>
  <c r="J840" i="1"/>
  <c r="U840" i="1" s="1"/>
  <c r="V840" i="1" s="1"/>
  <c r="W840" i="1" s="1"/>
  <c r="X840" i="1" s="1"/>
  <c r="Y840" i="1" s="1"/>
  <c r="AC840" i="1" s="1"/>
  <c r="J841" i="1"/>
  <c r="U841" i="1" s="1"/>
  <c r="V841" i="1" s="1"/>
  <c r="W841" i="1" s="1"/>
  <c r="X841" i="1" s="1"/>
  <c r="Y841" i="1" s="1"/>
  <c r="AC841" i="1" s="1"/>
  <c r="J842" i="1"/>
  <c r="U842" i="1" s="1"/>
  <c r="V842" i="1" s="1"/>
  <c r="W842" i="1" s="1"/>
  <c r="X842" i="1" s="1"/>
  <c r="Y842" i="1" s="1"/>
  <c r="AC842" i="1" s="1"/>
  <c r="J843" i="1"/>
  <c r="U843" i="1" s="1"/>
  <c r="V843" i="1" s="1"/>
  <c r="W843" i="1" s="1"/>
  <c r="X843" i="1" s="1"/>
  <c r="Y843" i="1" s="1"/>
  <c r="AC843" i="1" s="1"/>
  <c r="J844" i="1"/>
  <c r="U844" i="1" s="1"/>
  <c r="V844" i="1" s="1"/>
  <c r="W844" i="1" s="1"/>
  <c r="X844" i="1" s="1"/>
  <c r="Y844" i="1" s="1"/>
  <c r="AC844" i="1" s="1"/>
  <c r="J845" i="1"/>
  <c r="U845" i="1" s="1"/>
  <c r="V845" i="1" s="1"/>
  <c r="W845" i="1" s="1"/>
  <c r="X845" i="1" s="1"/>
  <c r="Y845" i="1" s="1"/>
  <c r="AC845" i="1" s="1"/>
  <c r="J846" i="1"/>
  <c r="U846" i="1" s="1"/>
  <c r="V846" i="1" s="1"/>
  <c r="W846" i="1" s="1"/>
  <c r="X846" i="1" s="1"/>
  <c r="Y846" i="1" s="1"/>
  <c r="AC846" i="1" s="1"/>
  <c r="U210" i="1" l="1"/>
  <c r="V210" i="1" s="1"/>
  <c r="W210" i="1" s="1"/>
  <c r="X210" i="1" s="1"/>
  <c r="Y210" i="1" s="1"/>
  <c r="AC210" i="1" s="1"/>
  <c r="U849" i="1"/>
  <c r="V849" i="1" s="1"/>
  <c r="W849" i="1" s="1"/>
  <c r="X849" i="1" s="1"/>
  <c r="Y849" i="1" s="1"/>
  <c r="Y208" i="1"/>
  <c r="AC208" i="1" s="1"/>
  <c r="AC358" i="1"/>
  <c r="U848" i="1"/>
  <c r="V848" i="1" s="1"/>
  <c r="W848" i="1" s="1"/>
  <c r="X848" i="1" s="1"/>
  <c r="Y848" i="1" s="1"/>
  <c r="U847" i="1"/>
  <c r="V847" i="1" s="1"/>
  <c r="W847" i="1" s="1"/>
  <c r="X847" i="1" s="1"/>
  <c r="Y847" i="1" s="1"/>
  <c r="AC871" i="1"/>
  <c r="Y869" i="1"/>
  <c r="AC868" i="1"/>
  <c r="AC869" i="1"/>
  <c r="T56" i="1"/>
  <c r="T94" i="1"/>
  <c r="T769" i="1"/>
  <c r="T261" i="1"/>
  <c r="T264" i="1"/>
  <c r="T550" i="1"/>
  <c r="T308" i="1" l="1"/>
  <c r="T138" i="1"/>
  <c r="T588" i="1" l="1"/>
  <c r="T303" i="1" l="1"/>
  <c r="T46" i="1"/>
  <c r="T44" i="1"/>
  <c r="T151" i="1" l="1"/>
  <c r="T251" i="1" l="1"/>
  <c r="T467" i="1"/>
  <c r="T499" i="1"/>
  <c r="T391" i="1" l="1"/>
  <c r="T379" i="1"/>
  <c r="T248" i="1" l="1"/>
  <c r="AB197" i="1" l="1"/>
  <c r="J197" i="1"/>
  <c r="U197" i="1" s="1"/>
  <c r="V197" i="1" s="1"/>
  <c r="W197" i="1" s="1"/>
  <c r="X197" i="1" s="1"/>
  <c r="Y197" i="1" l="1"/>
  <c r="AC197" i="1" s="1"/>
  <c r="R100" i="1" l="1"/>
  <c r="Q99" i="1"/>
  <c r="J99" i="1"/>
  <c r="R196" i="1" l="1"/>
  <c r="S196" i="1"/>
  <c r="R195" i="1" l="1"/>
  <c r="S207" i="1"/>
  <c r="S100" i="1" l="1"/>
  <c r="S786" i="1"/>
  <c r="S393" i="1"/>
  <c r="J243" i="1"/>
  <c r="S242" i="1"/>
  <c r="S243" i="1"/>
  <c r="S168" i="1"/>
  <c r="S93" i="1"/>
  <c r="J408" i="1"/>
  <c r="N867" i="1" l="1"/>
  <c r="S867" i="1"/>
  <c r="N872" i="1"/>
  <c r="J357" i="1"/>
  <c r="U357" i="1" s="1"/>
  <c r="V357" i="1" s="1"/>
  <c r="W357" i="1" s="1"/>
  <c r="X357" i="1" s="1"/>
  <c r="Y357" i="1" s="1"/>
  <c r="AC357" i="1" s="1"/>
  <c r="J356" i="1"/>
  <c r="U356" i="1" l="1"/>
  <c r="V356" i="1" s="1"/>
  <c r="W356" i="1" s="1"/>
  <c r="X356" i="1" s="1"/>
  <c r="Y356" i="1" s="1"/>
  <c r="AC356" i="1" s="1"/>
  <c r="S248" i="1"/>
  <c r="S109" i="1"/>
  <c r="S108" i="1"/>
  <c r="S146" i="1" l="1"/>
  <c r="S399" i="1"/>
  <c r="R146" i="1" l="1"/>
  <c r="S233" i="1" l="1"/>
  <c r="S17" i="1"/>
  <c r="S117" i="1"/>
  <c r="S128" i="1"/>
  <c r="S308" i="1"/>
  <c r="S44" i="1"/>
  <c r="S56" i="1"/>
  <c r="S54" i="1"/>
  <c r="S151" i="1"/>
  <c r="S158" i="1" l="1"/>
  <c r="S79" i="1"/>
  <c r="S164" i="1"/>
  <c r="S67" i="1"/>
  <c r="S81" i="1"/>
  <c r="S98" i="1"/>
  <c r="S394" i="1" l="1"/>
  <c r="S20" i="1" l="1"/>
  <c r="S209" i="1" l="1"/>
  <c r="S234" i="1"/>
  <c r="S223" i="1"/>
  <c r="S295" i="1"/>
  <c r="S199" i="1"/>
  <c r="S198" i="1"/>
  <c r="S217" i="1" l="1"/>
  <c r="S211" i="1"/>
  <c r="S14" i="1"/>
  <c r="S135" i="1"/>
  <c r="S355" i="1" l="1"/>
  <c r="S283" i="1"/>
  <c r="S774" i="1"/>
  <c r="S422" i="1"/>
  <c r="S84" i="1"/>
  <c r="S147" i="1"/>
  <c r="S106" i="1"/>
  <c r="S105" i="1"/>
  <c r="S141" i="1" l="1"/>
  <c r="S139" i="1"/>
  <c r="S872" i="1" l="1"/>
  <c r="S870" i="1"/>
  <c r="N870" i="1"/>
  <c r="J124" i="1"/>
  <c r="U124" i="1" s="1"/>
  <c r="V124" i="1" s="1"/>
  <c r="W124" i="1" s="1"/>
  <c r="X124" i="1" s="1"/>
  <c r="Y124" i="1" s="1"/>
  <c r="AC124" i="1" s="1"/>
  <c r="R243" i="1" l="1"/>
  <c r="S219" i="1" l="1"/>
  <c r="S228" i="1"/>
  <c r="S230" i="1"/>
  <c r="S452" i="1" l="1"/>
  <c r="S448" i="1"/>
  <c r="S76" i="1"/>
  <c r="S468" i="1"/>
  <c r="S413" i="1"/>
  <c r="S549" i="1" l="1"/>
  <c r="S544" i="1"/>
  <c r="S768" i="1"/>
  <c r="S772" i="1"/>
  <c r="S699" i="1"/>
  <c r="S136" i="1"/>
  <c r="S137" i="1"/>
  <c r="S142" i="1"/>
  <c r="S143" i="1"/>
  <c r="S144" i="1"/>
  <c r="S53" i="1"/>
  <c r="S176" i="1"/>
  <c r="S203" i="1"/>
  <c r="R439" i="1" l="1"/>
  <c r="Q439" i="1" l="1"/>
  <c r="J355" i="1" l="1"/>
  <c r="U355" i="1" s="1"/>
  <c r="V355" i="1" s="1"/>
  <c r="W355" i="1" s="1"/>
  <c r="X355" i="1" s="1"/>
  <c r="Y355" i="1" s="1"/>
  <c r="AC355" i="1" s="1"/>
  <c r="J439" i="1"/>
  <c r="J203" i="1"/>
  <c r="J864" i="1" l="1"/>
  <c r="U864" i="1" s="1"/>
  <c r="V864" i="1" s="1"/>
  <c r="W864" i="1" s="1"/>
  <c r="X864" i="1" s="1"/>
  <c r="Y864" i="1" s="1"/>
  <c r="AC864" i="1" s="1"/>
  <c r="AA413" i="1"/>
  <c r="AB413" i="1" s="1"/>
  <c r="J413" i="1"/>
  <c r="U413" i="1" s="1"/>
  <c r="V413" i="1" s="1"/>
  <c r="W413" i="1" s="1"/>
  <c r="J47" i="1"/>
  <c r="X413" i="1" l="1"/>
  <c r="Y413" i="1" s="1"/>
  <c r="AC413" i="1" s="1"/>
  <c r="R151" i="1"/>
  <c r="R609" i="1" l="1"/>
  <c r="R522" i="1" l="1"/>
  <c r="S769" i="1"/>
  <c r="S60" i="1" l="1"/>
  <c r="S159" i="1"/>
  <c r="S102" i="1" l="1"/>
  <c r="S679" i="1"/>
  <c r="S251" i="1"/>
  <c r="S288" i="1"/>
  <c r="S305" i="1"/>
  <c r="S281" i="1"/>
  <c r="S294" i="1"/>
  <c r="S271" i="1"/>
  <c r="S272" i="1"/>
  <c r="S270" i="1"/>
  <c r="S268" i="1"/>
  <c r="S259" i="1"/>
  <c r="S275" i="1"/>
  <c r="S156" i="1" l="1"/>
  <c r="S298" i="1"/>
  <c r="S138" i="1"/>
  <c r="S42" i="1"/>
  <c r="S19" i="1" l="1"/>
  <c r="S13" i="1"/>
  <c r="S119" i="1"/>
  <c r="S447" i="1"/>
  <c r="S657" i="1"/>
  <c r="S628" i="1"/>
  <c r="R145" i="1" l="1"/>
  <c r="S503" i="1" l="1"/>
  <c r="S754" i="1"/>
  <c r="S153" i="1" l="1"/>
  <c r="S94" i="1" l="1"/>
  <c r="S18" i="1"/>
  <c r="AB20" i="1" l="1"/>
  <c r="J20" i="1"/>
  <c r="U20" i="1" s="1"/>
  <c r="V20" i="1" s="1"/>
  <c r="W20" i="1" s="1"/>
  <c r="X20" i="1" s="1"/>
  <c r="Y20" i="1" s="1"/>
  <c r="AC20" i="1" s="1"/>
  <c r="S303" i="1" l="1"/>
  <c r="S240" i="1"/>
  <c r="S246" i="1"/>
  <c r="S28" i="1"/>
  <c r="S641" i="1" l="1"/>
  <c r="S172" i="1" l="1"/>
  <c r="R874" i="1"/>
  <c r="S214" i="1"/>
  <c r="S59" i="1"/>
  <c r="S363" i="1"/>
  <c r="S538" i="1" l="1"/>
  <c r="S517" i="1"/>
  <c r="S719" i="1"/>
  <c r="J870" i="1" l="1"/>
  <c r="U870" i="1" s="1"/>
  <c r="V870" i="1" s="1"/>
  <c r="W870" i="1" s="1"/>
  <c r="X870" i="1" s="1"/>
  <c r="Y870" i="1" s="1"/>
  <c r="AC870" i="1" s="1"/>
  <c r="J872" i="1"/>
  <c r="U872" i="1" s="1"/>
  <c r="V872" i="1" s="1"/>
  <c r="W872" i="1" s="1"/>
  <c r="X872" i="1" s="1"/>
  <c r="Y872" i="1" s="1"/>
  <c r="AC872" i="1" s="1"/>
  <c r="AA230" i="1"/>
  <c r="J230" i="1"/>
  <c r="U230" i="1" s="1"/>
  <c r="V230" i="1" s="1"/>
  <c r="W230" i="1" s="1"/>
  <c r="X230" i="1" s="1"/>
  <c r="Y230" i="1" s="1"/>
  <c r="AC230" i="1" s="1"/>
  <c r="J227" i="1"/>
  <c r="U227" i="1" s="1"/>
  <c r="V227" i="1" s="1"/>
  <c r="W227" i="1" s="1"/>
  <c r="X227" i="1" s="1"/>
  <c r="Y227" i="1" s="1"/>
  <c r="AC227" i="1" s="1"/>
  <c r="J228" i="1"/>
  <c r="U228" i="1" s="1"/>
  <c r="V228" i="1" s="1"/>
  <c r="W228" i="1" s="1"/>
  <c r="X228" i="1" s="1"/>
  <c r="Y228" i="1" s="1"/>
  <c r="AC228" i="1" s="1"/>
  <c r="J217" i="1"/>
  <c r="U217" i="1" s="1"/>
  <c r="V217" i="1" s="1"/>
  <c r="W217" i="1" s="1"/>
  <c r="X217" i="1" s="1"/>
  <c r="Y217" i="1" s="1"/>
  <c r="AC217" i="1" s="1"/>
  <c r="J223" i="1"/>
  <c r="U223" i="1" s="1"/>
  <c r="V223" i="1" s="1"/>
  <c r="W223" i="1" s="1"/>
  <c r="X223" i="1" s="1"/>
  <c r="Y223" i="1" s="1"/>
  <c r="AC223" i="1" s="1"/>
  <c r="AA207" i="1"/>
  <c r="AB207" i="1" s="1"/>
  <c r="N207" i="1"/>
  <c r="J207" i="1"/>
  <c r="U207" i="1" s="1"/>
  <c r="V207" i="1" s="1"/>
  <c r="W207" i="1" s="1"/>
  <c r="X207" i="1" l="1"/>
  <c r="S784" i="1"/>
  <c r="S32" i="1"/>
  <c r="S58" i="1"/>
  <c r="Y207" i="1" l="1"/>
  <c r="AC207" i="1" s="1"/>
  <c r="S12" i="1"/>
  <c r="S206" i="1" l="1"/>
  <c r="J867" i="1" l="1"/>
  <c r="U867" i="1" s="1"/>
  <c r="V867" i="1" s="1"/>
  <c r="W867" i="1" s="1"/>
  <c r="X867" i="1" s="1"/>
  <c r="Y867" i="1" s="1"/>
  <c r="AC867" i="1" s="1"/>
  <c r="AB248" i="1"/>
  <c r="J248" i="1"/>
  <c r="U248" i="1" s="1"/>
  <c r="V248" i="1" s="1"/>
  <c r="W248" i="1" s="1"/>
  <c r="X248" i="1" s="1"/>
  <c r="Y248" i="1" s="1"/>
  <c r="AC248" i="1" s="1"/>
  <c r="AB246" i="1"/>
  <c r="J246" i="1"/>
  <c r="U246" i="1" s="1"/>
  <c r="V246" i="1" s="1"/>
  <c r="W246" i="1" s="1"/>
  <c r="X246" i="1" s="1"/>
  <c r="Y246" i="1" s="1"/>
  <c r="AC246" i="1" s="1"/>
  <c r="AB298" i="1"/>
  <c r="J298" i="1"/>
  <c r="U298" i="1" s="1"/>
  <c r="V298" i="1" s="1"/>
  <c r="W298" i="1" s="1"/>
  <c r="X298" i="1" s="1"/>
  <c r="Y298" i="1" s="1"/>
  <c r="AC298" i="1" s="1"/>
  <c r="AB282" i="1"/>
  <c r="J282" i="1"/>
  <c r="U282" i="1" s="1"/>
  <c r="V282" i="1" s="1"/>
  <c r="W282" i="1" s="1"/>
  <c r="X282" i="1" s="1"/>
  <c r="Y282" i="1" s="1"/>
  <c r="AC282" i="1" s="1"/>
  <c r="AB307" i="1"/>
  <c r="J307" i="1"/>
  <c r="U307" i="1" s="1"/>
  <c r="V307" i="1" s="1"/>
  <c r="W307" i="1" s="1"/>
  <c r="X307" i="1" s="1"/>
  <c r="Y307" i="1" s="1"/>
  <c r="AC307" i="1" s="1"/>
  <c r="AB306" i="1"/>
  <c r="J306" i="1"/>
  <c r="U306" i="1" s="1"/>
  <c r="V306" i="1" s="1"/>
  <c r="W306" i="1" s="1"/>
  <c r="X306" i="1" s="1"/>
  <c r="Y306" i="1" s="1"/>
  <c r="AC306" i="1" s="1"/>
  <c r="AB258" i="1"/>
  <c r="J258" i="1"/>
  <c r="U258" i="1" s="1"/>
  <c r="V258" i="1" s="1"/>
  <c r="W258" i="1" s="1"/>
  <c r="X258" i="1" s="1"/>
  <c r="Y258" i="1" s="1"/>
  <c r="AC258" i="1" s="1"/>
  <c r="AB262" i="1" l="1"/>
  <c r="J262" i="1"/>
  <c r="U262" i="1" s="1"/>
  <c r="V262" i="1" s="1"/>
  <c r="W262" i="1" s="1"/>
  <c r="X262" i="1" s="1"/>
  <c r="Y262" i="1" s="1"/>
  <c r="AC262" i="1" s="1"/>
  <c r="AB272" i="1"/>
  <c r="J272" i="1"/>
  <c r="U272" i="1" s="1"/>
  <c r="V272" i="1" s="1"/>
  <c r="W272" i="1" s="1"/>
  <c r="X272" i="1" s="1"/>
  <c r="Y272" i="1" s="1"/>
  <c r="AC272" i="1" s="1"/>
  <c r="AB271" i="1"/>
  <c r="J271" i="1"/>
  <c r="U271" i="1" s="1"/>
  <c r="V271" i="1" s="1"/>
  <c r="W271" i="1" s="1"/>
  <c r="X271" i="1" s="1"/>
  <c r="Y271" i="1" s="1"/>
  <c r="AC271" i="1" s="1"/>
  <c r="AB269" i="1"/>
  <c r="J269" i="1"/>
  <c r="U269" i="1" s="1"/>
  <c r="V269" i="1" s="1"/>
  <c r="W269" i="1" s="1"/>
  <c r="X269" i="1" s="1"/>
  <c r="Y269" i="1" s="1"/>
  <c r="AC269" i="1" s="1"/>
  <c r="AB276" i="1"/>
  <c r="J276" i="1"/>
  <c r="U276" i="1" s="1"/>
  <c r="V276" i="1" s="1"/>
  <c r="W276" i="1" s="1"/>
  <c r="X276" i="1" s="1"/>
  <c r="Y276" i="1" s="1"/>
  <c r="AC276" i="1" s="1"/>
  <c r="AB256" i="1"/>
  <c r="J256" i="1"/>
  <c r="U256" i="1" s="1"/>
  <c r="V256" i="1" s="1"/>
  <c r="W256" i="1" s="1"/>
  <c r="X256" i="1" s="1"/>
  <c r="Y256" i="1" s="1"/>
  <c r="AC256" i="1" s="1"/>
  <c r="AB308" i="1"/>
  <c r="J308" i="1"/>
  <c r="U308" i="1" s="1"/>
  <c r="V308" i="1" s="1"/>
  <c r="W308" i="1" s="1"/>
  <c r="X308" i="1" s="1"/>
  <c r="Y308" i="1" s="1"/>
  <c r="AC308" i="1" s="1"/>
  <c r="AB284" i="1"/>
  <c r="J284" i="1"/>
  <c r="U284" i="1" s="1"/>
  <c r="V284" i="1" s="1"/>
  <c r="W284" i="1" s="1"/>
  <c r="X284" i="1" s="1"/>
  <c r="Y284" i="1" s="1"/>
  <c r="AC284" i="1" s="1"/>
  <c r="X289" i="1"/>
  <c r="Y289" i="1" s="1"/>
  <c r="AC289" i="1" s="1"/>
  <c r="AB289" i="1"/>
  <c r="N300" i="1"/>
  <c r="AB242" i="1"/>
  <c r="J242" i="1"/>
  <c r="U242" i="1" s="1"/>
  <c r="V242" i="1" s="1"/>
  <c r="W242" i="1" s="1"/>
  <c r="X242" i="1" s="1"/>
  <c r="Y242" i="1" s="1"/>
  <c r="AC242" i="1" s="1"/>
  <c r="AB300" i="1"/>
  <c r="J300" i="1"/>
  <c r="U300" i="1" s="1"/>
  <c r="V300" i="1" s="1"/>
  <c r="W300" i="1" s="1"/>
  <c r="X300" i="1" l="1"/>
  <c r="Y300" i="1" s="1"/>
  <c r="AC300" i="1" s="1"/>
  <c r="AB340" i="1" l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39" i="1"/>
  <c r="U354" i="1"/>
  <c r="V354" i="1" s="1"/>
  <c r="W354" i="1" s="1"/>
  <c r="X354" i="1" s="1"/>
  <c r="Y354" i="1" s="1"/>
  <c r="AC354" i="1" s="1"/>
  <c r="S757" i="1" l="1"/>
  <c r="AB117" i="1" l="1"/>
  <c r="J118" i="1"/>
  <c r="J117" i="1"/>
  <c r="U117" i="1" s="1"/>
  <c r="V117" i="1" s="1"/>
  <c r="W117" i="1" s="1"/>
  <c r="X117" i="1" s="1"/>
  <c r="Y117" i="1" s="1"/>
  <c r="AC117" i="1" s="1"/>
  <c r="Q118" i="1" l="1"/>
  <c r="U118" i="1"/>
  <c r="V118" i="1" l="1"/>
  <c r="J301" i="1"/>
  <c r="Q75" i="1" l="1"/>
  <c r="R768" i="1"/>
  <c r="R517" i="1"/>
  <c r="R363" i="1"/>
  <c r="R58" i="1"/>
  <c r="R89" i="1"/>
  <c r="R75" i="1"/>
  <c r="R206" i="1"/>
  <c r="R199" i="1"/>
  <c r="R233" i="1"/>
  <c r="J68" i="1" l="1"/>
  <c r="J877" i="1"/>
  <c r="J875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191" i="1"/>
  <c r="J185" i="1"/>
  <c r="J184" i="1"/>
  <c r="J305" i="1"/>
  <c r="J297" i="1"/>
  <c r="J296" i="1"/>
  <c r="J290" i="1"/>
  <c r="J273" i="1"/>
  <c r="J254" i="1"/>
  <c r="J196" i="1"/>
  <c r="J192" i="1"/>
  <c r="J182" i="1"/>
  <c r="J180" i="1"/>
  <c r="J178" i="1"/>
  <c r="J175" i="1"/>
  <c r="J170" i="1"/>
  <c r="J168" i="1"/>
  <c r="J166" i="1"/>
  <c r="J162" i="1"/>
  <c r="J156" i="1"/>
  <c r="J154" i="1"/>
  <c r="J152" i="1"/>
  <c r="J140" i="1"/>
  <c r="J137" i="1"/>
  <c r="J135" i="1"/>
  <c r="J133" i="1"/>
  <c r="J131" i="1"/>
  <c r="J119" i="1"/>
  <c r="J116" i="1"/>
  <c r="J114" i="1"/>
  <c r="J112" i="1"/>
  <c r="J107" i="1"/>
  <c r="J104" i="1"/>
  <c r="J103" i="1"/>
  <c r="J101" i="1"/>
  <c r="J93" i="1"/>
  <c r="J88" i="1"/>
  <c r="J84" i="1"/>
  <c r="J62" i="1"/>
  <c r="J57" i="1"/>
  <c r="J55" i="1"/>
  <c r="J45" i="1"/>
  <c r="J40" i="1"/>
  <c r="J37" i="1"/>
  <c r="J35" i="1"/>
  <c r="J33" i="1"/>
  <c r="J31" i="1"/>
  <c r="J29" i="1"/>
  <c r="J27" i="1"/>
  <c r="J25" i="1"/>
  <c r="J19" i="1"/>
  <c r="J17" i="1"/>
  <c r="J15" i="1"/>
  <c r="J13" i="1"/>
  <c r="AB590" i="1"/>
  <c r="AB767" i="1"/>
  <c r="AB766" i="1"/>
  <c r="AB740" i="1"/>
  <c r="AB726" i="1"/>
  <c r="AB718" i="1"/>
  <c r="AB716" i="1"/>
  <c r="AB713" i="1"/>
  <c r="AB700" i="1"/>
  <c r="R41" i="1"/>
  <c r="AB40" i="1"/>
  <c r="AB37" i="1"/>
  <c r="AB693" i="1"/>
  <c r="AB694" i="1"/>
  <c r="AB684" i="1"/>
  <c r="AB685" i="1"/>
  <c r="AB686" i="1"/>
  <c r="R222" i="1"/>
  <c r="J680" i="1" l="1"/>
  <c r="J89" i="1"/>
  <c r="U875" i="1"/>
  <c r="V875" i="1" s="1"/>
  <c r="W875" i="1" s="1"/>
  <c r="X875" i="1" s="1"/>
  <c r="Y875" i="1" s="1"/>
  <c r="AC875" i="1" s="1"/>
  <c r="U877" i="1"/>
  <c r="V877" i="1" s="1"/>
  <c r="W877" i="1" s="1"/>
  <c r="X877" i="1" s="1"/>
  <c r="Y877" i="1" s="1"/>
  <c r="AC877" i="1" s="1"/>
  <c r="M196" i="1"/>
  <c r="AB162" i="1"/>
  <c r="M162" i="1"/>
  <c r="U162" i="1"/>
  <c r="V162" i="1" s="1"/>
  <c r="U353" i="1"/>
  <c r="V353" i="1" s="1"/>
  <c r="W353" i="1" s="1"/>
  <c r="X353" i="1" s="1"/>
  <c r="Y353" i="1" s="1"/>
  <c r="AC353" i="1" s="1"/>
  <c r="U352" i="1"/>
  <c r="V352" i="1" s="1"/>
  <c r="W352" i="1" s="1"/>
  <c r="X352" i="1" s="1"/>
  <c r="Y352" i="1" s="1"/>
  <c r="AC352" i="1" s="1"/>
  <c r="R241" i="1"/>
  <c r="Q241" i="1"/>
  <c r="J75" i="1"/>
  <c r="U75" i="1" s="1"/>
  <c r="V75" i="1" s="1"/>
  <c r="W75" i="1" s="1"/>
  <c r="X75" i="1" s="1"/>
  <c r="Y75" i="1" s="1"/>
  <c r="AC75" i="1" s="1"/>
  <c r="J874" i="1"/>
  <c r="U874" i="1" s="1"/>
  <c r="V874" i="1" s="1"/>
  <c r="W874" i="1" s="1"/>
  <c r="X874" i="1" s="1"/>
  <c r="Y874" i="1" s="1"/>
  <c r="AC874" i="1" s="1"/>
  <c r="U850" i="1"/>
  <c r="V850" i="1" s="1"/>
  <c r="W850" i="1" s="1"/>
  <c r="X850" i="1" s="1"/>
  <c r="Y850" i="1" s="1"/>
  <c r="AC850" i="1" s="1"/>
  <c r="J313" i="1"/>
  <c r="J314" i="1"/>
  <c r="Q87" i="1"/>
  <c r="P87" i="1"/>
  <c r="U89" i="1" l="1"/>
  <c r="V89" i="1" s="1"/>
  <c r="W89" i="1" s="1"/>
  <c r="X89" i="1" s="1"/>
  <c r="Y89" i="1" s="1"/>
  <c r="AC89" i="1" s="1"/>
  <c r="W162" i="1"/>
  <c r="X162" i="1" s="1"/>
  <c r="Y162" i="1" s="1"/>
  <c r="AC162" i="1" s="1"/>
  <c r="R746" i="1"/>
  <c r="R447" i="1"/>
  <c r="R378" i="1"/>
  <c r="R137" i="1"/>
  <c r="R503" i="1"/>
  <c r="R209" i="1" l="1"/>
  <c r="R295" i="1"/>
  <c r="R267" i="1"/>
  <c r="R305" i="1"/>
  <c r="R497" i="1" l="1"/>
  <c r="R418" i="1"/>
  <c r="R772" i="1"/>
  <c r="R754" i="1"/>
  <c r="R294" i="1"/>
  <c r="R240" i="1"/>
  <c r="R270" i="1"/>
  <c r="R268" i="1"/>
  <c r="R259" i="1"/>
  <c r="R275" i="1"/>
  <c r="R167" i="1"/>
  <c r="R16" i="1"/>
  <c r="R109" i="1"/>
  <c r="R93" i="1"/>
  <c r="R111" i="1"/>
  <c r="R113" i="1"/>
  <c r="R128" i="1"/>
  <c r="R46" i="1"/>
  <c r="R247" i="1"/>
  <c r="R214" i="1"/>
  <c r="R52" i="1"/>
  <c r="R50" i="1"/>
  <c r="R44" i="1"/>
  <c r="R60" i="1"/>
  <c r="R84" i="1"/>
  <c r="R138" i="1"/>
  <c r="R176" i="1"/>
  <c r="R135" i="1"/>
  <c r="R79" i="1"/>
  <c r="R336" i="1" l="1"/>
  <c r="R499" i="1"/>
  <c r="R757" i="1"/>
  <c r="R769" i="1"/>
  <c r="R635" i="1"/>
  <c r="R651" i="1"/>
  <c r="R592" i="1"/>
  <c r="R278" i="1"/>
  <c r="R288" i="1"/>
  <c r="R281" i="1"/>
  <c r="R156" i="1" l="1"/>
  <c r="R67" i="1" l="1"/>
  <c r="R98" i="1"/>
  <c r="R164" i="1"/>
  <c r="R102" i="1"/>
  <c r="R171" i="1"/>
  <c r="R21" i="1"/>
  <c r="R136" i="1"/>
  <c r="R54" i="1"/>
  <c r="R139" i="1" l="1"/>
  <c r="R144" i="1"/>
  <c r="R141" i="1"/>
  <c r="R119" i="1"/>
  <c r="R159" i="1"/>
  <c r="R127" i="1"/>
  <c r="R234" i="1"/>
  <c r="R283" i="1"/>
  <c r="R172" i="1"/>
  <c r="R18" i="1"/>
  <c r="R198" i="1"/>
  <c r="M170" i="1" l="1"/>
  <c r="AB196" i="1" l="1"/>
  <c r="U196" i="1"/>
  <c r="V196" i="1" s="1"/>
  <c r="W196" i="1" s="1"/>
  <c r="U40" i="1"/>
  <c r="V40" i="1" s="1"/>
  <c r="W40" i="1" s="1"/>
  <c r="X40" i="1" s="1"/>
  <c r="Y40" i="1" s="1"/>
  <c r="AC40" i="1" s="1"/>
  <c r="U37" i="1"/>
  <c r="V37" i="1" s="1"/>
  <c r="W37" i="1" s="1"/>
  <c r="X37" i="1" s="1"/>
  <c r="Y37" i="1" s="1"/>
  <c r="AC37" i="1" s="1"/>
  <c r="U104" i="1"/>
  <c r="V104" i="1" s="1"/>
  <c r="W104" i="1" s="1"/>
  <c r="X104" i="1" s="1"/>
  <c r="Y104" i="1" s="1"/>
  <c r="AC104" i="1" s="1"/>
  <c r="U101" i="1"/>
  <c r="V101" i="1" s="1"/>
  <c r="M137" i="1"/>
  <c r="U137" i="1"/>
  <c r="V137" i="1" s="1"/>
  <c r="M68" i="1"/>
  <c r="U68" i="1"/>
  <c r="V68" i="1" s="1"/>
  <c r="W101" i="1" l="1"/>
  <c r="X101" i="1" s="1"/>
  <c r="Y101" i="1" s="1"/>
  <c r="AC101" i="1" s="1"/>
  <c r="X196" i="1"/>
  <c r="Y196" i="1" s="1"/>
  <c r="AC196" i="1" s="1"/>
  <c r="W137" i="1"/>
  <c r="X137" i="1" s="1"/>
  <c r="Y137" i="1" s="1"/>
  <c r="AC137" i="1" s="1"/>
  <c r="W68" i="1"/>
  <c r="X68" i="1" s="1"/>
  <c r="Y68" i="1" s="1"/>
  <c r="AC68" i="1" s="1"/>
  <c r="AB361" i="1"/>
  <c r="AB336" i="1"/>
  <c r="R14" i="1"/>
  <c r="AB11" i="1"/>
  <c r="AB311" i="1"/>
  <c r="AB327" i="1"/>
  <c r="AB334" i="1"/>
  <c r="U351" i="1"/>
  <c r="V351" i="1" s="1"/>
  <c r="W351" i="1" s="1"/>
  <c r="X351" i="1" s="1"/>
  <c r="Y351" i="1" s="1"/>
  <c r="AC351" i="1" s="1"/>
  <c r="U349" i="1"/>
  <c r="V349" i="1" s="1"/>
  <c r="W349" i="1" s="1"/>
  <c r="X349" i="1" s="1"/>
  <c r="Y349" i="1" s="1"/>
  <c r="AC349" i="1" s="1"/>
  <c r="U350" i="1"/>
  <c r="V350" i="1" s="1"/>
  <c r="W350" i="1" s="1"/>
  <c r="X350" i="1" s="1"/>
  <c r="Y350" i="1" s="1"/>
  <c r="AC350" i="1" s="1"/>
  <c r="U339" i="1"/>
  <c r="V339" i="1" s="1"/>
  <c r="W339" i="1" s="1"/>
  <c r="X339" i="1" s="1"/>
  <c r="Y339" i="1" s="1"/>
  <c r="AC339" i="1" s="1"/>
  <c r="U340" i="1"/>
  <c r="V340" i="1" s="1"/>
  <c r="W340" i="1" s="1"/>
  <c r="X340" i="1" s="1"/>
  <c r="Y340" i="1" s="1"/>
  <c r="AC340" i="1" s="1"/>
  <c r="U341" i="1"/>
  <c r="V341" i="1" s="1"/>
  <c r="W341" i="1" s="1"/>
  <c r="X341" i="1" s="1"/>
  <c r="Y341" i="1" s="1"/>
  <c r="AC341" i="1" s="1"/>
  <c r="U342" i="1"/>
  <c r="V342" i="1" s="1"/>
  <c r="W342" i="1" s="1"/>
  <c r="X342" i="1" s="1"/>
  <c r="Y342" i="1" s="1"/>
  <c r="AC342" i="1" s="1"/>
  <c r="U343" i="1"/>
  <c r="V343" i="1" s="1"/>
  <c r="W343" i="1" s="1"/>
  <c r="X343" i="1" s="1"/>
  <c r="Y343" i="1" s="1"/>
  <c r="AC343" i="1" s="1"/>
  <c r="U344" i="1"/>
  <c r="V344" i="1" s="1"/>
  <c r="W344" i="1" s="1"/>
  <c r="X344" i="1" s="1"/>
  <c r="Y344" i="1" s="1"/>
  <c r="AC344" i="1" s="1"/>
  <c r="U345" i="1"/>
  <c r="V345" i="1" s="1"/>
  <c r="W345" i="1" s="1"/>
  <c r="X345" i="1" s="1"/>
  <c r="Y345" i="1" s="1"/>
  <c r="AC345" i="1" s="1"/>
  <c r="U346" i="1"/>
  <c r="V346" i="1" s="1"/>
  <c r="W346" i="1" s="1"/>
  <c r="X346" i="1" s="1"/>
  <c r="Y346" i="1" s="1"/>
  <c r="AC346" i="1" s="1"/>
  <c r="U347" i="1"/>
  <c r="V347" i="1" s="1"/>
  <c r="W347" i="1" s="1"/>
  <c r="X347" i="1" s="1"/>
  <c r="Y347" i="1" s="1"/>
  <c r="AC347" i="1" s="1"/>
  <c r="U348" i="1"/>
  <c r="V348" i="1" s="1"/>
  <c r="W348" i="1" s="1"/>
  <c r="X348" i="1" s="1"/>
  <c r="Y348" i="1" s="1"/>
  <c r="AC348" i="1" s="1"/>
  <c r="R786" i="1" l="1"/>
  <c r="R147" i="1"/>
  <c r="R213" i="1" l="1"/>
  <c r="R81" i="1" l="1"/>
  <c r="R76" i="1"/>
  <c r="R106" i="1"/>
  <c r="R132" i="1"/>
  <c r="R770" i="1" l="1"/>
  <c r="R377" i="1"/>
  <c r="R120" i="1"/>
  <c r="R30" i="1"/>
  <c r="R13" i="1"/>
  <c r="R142" i="1"/>
  <c r="R291" i="1"/>
  <c r="R166" i="1"/>
  <c r="R56" i="1"/>
  <c r="Q146" i="1"/>
  <c r="R264" i="1"/>
  <c r="R253" i="1"/>
  <c r="R303" i="1"/>
  <c r="R261" i="1"/>
  <c r="R126" i="1" l="1"/>
  <c r="R38" i="1"/>
  <c r="R39" i="1"/>
  <c r="R36" i="1"/>
  <c r="R110" i="1"/>
  <c r="R43" i="1"/>
  <c r="R94" i="1"/>
  <c r="R153" i="1"/>
  <c r="R28" i="1"/>
  <c r="R211" i="1" l="1"/>
  <c r="R653" i="1" l="1"/>
  <c r="R148" i="1" l="1"/>
  <c r="R26" i="1" l="1"/>
  <c r="R699" i="1"/>
  <c r="R448" i="1"/>
  <c r="R759" i="1" l="1"/>
  <c r="R718" i="1"/>
  <c r="R662" i="1"/>
  <c r="R474" i="1"/>
  <c r="R329" i="1" l="1"/>
  <c r="Q195" i="1"/>
  <c r="R422" i="1" l="1"/>
  <c r="R143" i="1" l="1"/>
  <c r="R452" i="1" l="1"/>
  <c r="P204" i="1" l="1"/>
  <c r="Q206" i="1"/>
  <c r="R69" i="1" l="1"/>
  <c r="R186" i="1"/>
  <c r="R174" i="1" l="1"/>
  <c r="R530" i="1" l="1"/>
  <c r="AB424" i="1" l="1"/>
  <c r="J424" i="1"/>
  <c r="U424" i="1" s="1"/>
  <c r="V424" i="1" s="1"/>
  <c r="W424" i="1" s="1"/>
  <c r="X424" i="1" s="1"/>
  <c r="Y424" i="1" s="1"/>
  <c r="AC424" i="1" s="1"/>
  <c r="J429" i="1" l="1"/>
  <c r="AB427" i="1" l="1"/>
  <c r="J427" i="1"/>
  <c r="U427" i="1" s="1"/>
  <c r="V427" i="1" s="1"/>
  <c r="W427" i="1" s="1"/>
  <c r="AB426" i="1"/>
  <c r="J426" i="1"/>
  <c r="U426" i="1" s="1"/>
  <c r="V426" i="1" s="1"/>
  <c r="W426" i="1" s="1"/>
  <c r="AB425" i="1"/>
  <c r="J425" i="1"/>
  <c r="U425" i="1" s="1"/>
  <c r="V425" i="1" s="1"/>
  <c r="W425" i="1" s="1"/>
  <c r="AB428" i="1"/>
  <c r="AB429" i="1"/>
  <c r="U429" i="1"/>
  <c r="V429" i="1" s="1"/>
  <c r="W429" i="1" s="1"/>
  <c r="X429" i="1" s="1"/>
  <c r="Y429" i="1" s="1"/>
  <c r="AC429" i="1" s="1"/>
  <c r="J428" i="1"/>
  <c r="U428" i="1" s="1"/>
  <c r="V428" i="1" s="1"/>
  <c r="W428" i="1" s="1"/>
  <c r="X428" i="1" s="1"/>
  <c r="Y428" i="1" s="1"/>
  <c r="AC428" i="1" s="1"/>
  <c r="Q422" i="1"/>
  <c r="AB423" i="1"/>
  <c r="J423" i="1"/>
  <c r="U423" i="1" s="1"/>
  <c r="V423" i="1" s="1"/>
  <c r="W423" i="1" s="1"/>
  <c r="X423" i="1" s="1"/>
  <c r="Y423" i="1" s="1"/>
  <c r="AC423" i="1" s="1"/>
  <c r="X425" i="1" l="1"/>
  <c r="Y425" i="1" s="1"/>
  <c r="AC425" i="1" s="1"/>
  <c r="X427" i="1"/>
  <c r="Y427" i="1" s="1"/>
  <c r="AC427" i="1" s="1"/>
  <c r="X426" i="1"/>
  <c r="Y426" i="1" s="1"/>
  <c r="AC426" i="1" s="1"/>
  <c r="R64" i="1"/>
  <c r="R97" i="1" l="1"/>
  <c r="R34" i="1" l="1"/>
  <c r="AB170" i="1" l="1"/>
  <c r="U170" i="1"/>
  <c r="M166" i="1"/>
  <c r="W166" i="1" s="1"/>
  <c r="X166" i="1" s="1"/>
  <c r="Y166" i="1" s="1"/>
  <c r="AC166" i="1" s="1"/>
  <c r="M175" i="1"/>
  <c r="U175" i="1"/>
  <c r="V175" i="1" s="1"/>
  <c r="AB17" i="1"/>
  <c r="U17" i="1"/>
  <c r="V17" i="1" s="1"/>
  <c r="AB131" i="1"/>
  <c r="U131" i="1"/>
  <c r="V131" i="1" s="1"/>
  <c r="W131" i="1" s="1"/>
  <c r="X131" i="1" s="1"/>
  <c r="Y131" i="1" s="1"/>
  <c r="AC131" i="1" s="1"/>
  <c r="AB135" i="1"/>
  <c r="U135" i="1"/>
  <c r="V135" i="1" s="1"/>
  <c r="W135" i="1" s="1"/>
  <c r="X135" i="1" s="1"/>
  <c r="Y135" i="1" s="1"/>
  <c r="AC135" i="1" s="1"/>
  <c r="W17" i="1" l="1"/>
  <c r="X17" i="1" s="1"/>
  <c r="Y17" i="1" s="1"/>
  <c r="AC17" i="1" s="1"/>
  <c r="W175" i="1"/>
  <c r="X175" i="1" s="1"/>
  <c r="Y175" i="1" s="1"/>
  <c r="AC175" i="1" s="1"/>
  <c r="V170" i="1"/>
  <c r="W170" i="1" s="1"/>
  <c r="X170" i="1" s="1"/>
  <c r="Y170" i="1" s="1"/>
  <c r="AC170" i="1" s="1"/>
  <c r="J612" i="1" l="1"/>
  <c r="U612" i="1" s="1"/>
  <c r="V612" i="1" s="1"/>
  <c r="W612" i="1" s="1"/>
  <c r="AB612" i="1"/>
  <c r="J613" i="1"/>
  <c r="V613" i="1"/>
  <c r="X612" i="1" l="1"/>
  <c r="Y612" i="1" s="1"/>
  <c r="AC612" i="1" s="1"/>
  <c r="AC613" i="1" s="1"/>
  <c r="Q707" i="1"/>
  <c r="J708" i="1"/>
  <c r="U708" i="1" s="1"/>
  <c r="V708" i="1" s="1"/>
  <c r="AB708" i="1"/>
  <c r="J643" i="1"/>
  <c r="J645" i="1"/>
  <c r="J646" i="1"/>
  <c r="AA643" i="1"/>
  <c r="AA645" i="1"/>
  <c r="AA646" i="1"/>
  <c r="W708" i="1" l="1"/>
  <c r="J395" i="1"/>
  <c r="X708" i="1" l="1"/>
  <c r="Y708" i="1" s="1"/>
  <c r="AC708" i="1" s="1"/>
  <c r="Q93" i="1"/>
  <c r="Q92" i="1"/>
  <c r="J649" i="1" l="1"/>
  <c r="Q155" i="1"/>
  <c r="Q186" i="1" l="1"/>
  <c r="J853" i="1" l="1"/>
  <c r="AB72" i="1"/>
  <c r="J72" i="1"/>
  <c r="U72" i="1" s="1"/>
  <c r="V72" i="1" s="1"/>
  <c r="W72" i="1" s="1"/>
  <c r="X72" i="1" s="1"/>
  <c r="Y72" i="1" s="1"/>
  <c r="AC72" i="1" s="1"/>
  <c r="AB150" i="1"/>
  <c r="J150" i="1"/>
  <c r="U150" i="1" s="1"/>
  <c r="V150" i="1" s="1"/>
  <c r="AB19" i="1"/>
  <c r="U19" i="1"/>
  <c r="V19" i="1" s="1"/>
  <c r="W19" i="1" s="1"/>
  <c r="X19" i="1" s="1"/>
  <c r="Y19" i="1" s="1"/>
  <c r="AC19" i="1" s="1"/>
  <c r="L62" i="1"/>
  <c r="AB27" i="1"/>
  <c r="L27" i="1"/>
  <c r="L25" i="1"/>
  <c r="U27" i="1"/>
  <c r="AB25" i="1"/>
  <c r="U25" i="1"/>
  <c r="AB57" i="1"/>
  <c r="AB55" i="1"/>
  <c r="U57" i="1"/>
  <c r="V57" i="1" s="1"/>
  <c r="W57" i="1" s="1"/>
  <c r="X57" i="1" s="1"/>
  <c r="Y57" i="1" s="1"/>
  <c r="AC57" i="1" s="1"/>
  <c r="U55" i="1"/>
  <c r="V55" i="1" s="1"/>
  <c r="W55" i="1" s="1"/>
  <c r="X55" i="1" s="1"/>
  <c r="Y55" i="1" s="1"/>
  <c r="AC55" i="1" s="1"/>
  <c r="AB305" i="1"/>
  <c r="U305" i="1"/>
  <c r="V305" i="1" s="1"/>
  <c r="AB273" i="1"/>
  <c r="U273" i="1"/>
  <c r="V273" i="1" s="1"/>
  <c r="AB253" i="1"/>
  <c r="AB254" i="1"/>
  <c r="AB252" i="1"/>
  <c r="U254" i="1"/>
  <c r="V254" i="1" s="1"/>
  <c r="AB192" i="1"/>
  <c r="U192" i="1"/>
  <c r="V192" i="1" s="1"/>
  <c r="L290" i="1"/>
  <c r="U290" i="1"/>
  <c r="AB123" i="1"/>
  <c r="J123" i="1"/>
  <c r="U123" i="1" s="1"/>
  <c r="V123" i="1" s="1"/>
  <c r="AB121" i="1"/>
  <c r="J121" i="1"/>
  <c r="U121" i="1" s="1"/>
  <c r="V121" i="1" s="1"/>
  <c r="AB116" i="1"/>
  <c r="U116" i="1"/>
  <c r="V116" i="1" s="1"/>
  <c r="AB114" i="1"/>
  <c r="U114" i="1"/>
  <c r="V114" i="1" s="1"/>
  <c r="AB112" i="1"/>
  <c r="U112" i="1"/>
  <c r="V112" i="1" s="1"/>
  <c r="AB79" i="1"/>
  <c r="J79" i="1"/>
  <c r="U79" i="1" s="1"/>
  <c r="V79" i="1" s="1"/>
  <c r="W79" i="1" s="1"/>
  <c r="X79" i="1" s="1"/>
  <c r="Y79" i="1" s="1"/>
  <c r="AC79" i="1" s="1"/>
  <c r="AB35" i="1"/>
  <c r="L35" i="1"/>
  <c r="U35" i="1"/>
  <c r="AB33" i="1"/>
  <c r="L33" i="1"/>
  <c r="U33" i="1"/>
  <c r="AB31" i="1"/>
  <c r="L31" i="1"/>
  <c r="U31" i="1"/>
  <c r="AB29" i="1"/>
  <c r="L29" i="1"/>
  <c r="U29" i="1"/>
  <c r="U853" i="1" l="1"/>
  <c r="V853" i="1" s="1"/>
  <c r="W853" i="1" s="1"/>
  <c r="W112" i="1"/>
  <c r="X112" i="1" s="1"/>
  <c r="Y112" i="1" s="1"/>
  <c r="AC112" i="1" s="1"/>
  <c r="W116" i="1"/>
  <c r="X116" i="1" s="1"/>
  <c r="Y116" i="1" s="1"/>
  <c r="AC116" i="1" s="1"/>
  <c r="W305" i="1"/>
  <c r="W114" i="1"/>
  <c r="X114" i="1" s="1"/>
  <c r="Y114" i="1" s="1"/>
  <c r="AC114" i="1" s="1"/>
  <c r="W123" i="1"/>
  <c r="X123" i="1" s="1"/>
  <c r="Y123" i="1" s="1"/>
  <c r="AC123" i="1" s="1"/>
  <c r="W192" i="1"/>
  <c r="X192" i="1" s="1"/>
  <c r="Y192" i="1" s="1"/>
  <c r="AC192" i="1" s="1"/>
  <c r="W121" i="1"/>
  <c r="X121" i="1" s="1"/>
  <c r="Y121" i="1" s="1"/>
  <c r="AC121" i="1" s="1"/>
  <c r="W254" i="1"/>
  <c r="W273" i="1"/>
  <c r="W150" i="1"/>
  <c r="X150" i="1" s="1"/>
  <c r="Y150" i="1" s="1"/>
  <c r="AC150" i="1" s="1"/>
  <c r="V27" i="1"/>
  <c r="W27" i="1" s="1"/>
  <c r="X27" i="1" s="1"/>
  <c r="Y27" i="1" s="1"/>
  <c r="AC27" i="1" s="1"/>
  <c r="V25" i="1"/>
  <c r="W25" i="1" s="1"/>
  <c r="X25" i="1" s="1"/>
  <c r="Y25" i="1" s="1"/>
  <c r="AC25" i="1" s="1"/>
  <c r="V35" i="1"/>
  <c r="W35" i="1" s="1"/>
  <c r="X35" i="1" s="1"/>
  <c r="Y35" i="1" s="1"/>
  <c r="AC35" i="1" s="1"/>
  <c r="V29" i="1"/>
  <c r="W29" i="1" s="1"/>
  <c r="X29" i="1" s="1"/>
  <c r="Y29" i="1" s="1"/>
  <c r="AC29" i="1" s="1"/>
  <c r="V290" i="1"/>
  <c r="V33" i="1"/>
  <c r="W33" i="1" s="1"/>
  <c r="X33" i="1" s="1"/>
  <c r="Y33" i="1" s="1"/>
  <c r="AC33" i="1" s="1"/>
  <c r="V31" i="1"/>
  <c r="W31" i="1" s="1"/>
  <c r="X31" i="1" s="1"/>
  <c r="Y31" i="1" s="1"/>
  <c r="AC31" i="1" s="1"/>
  <c r="U93" i="1"/>
  <c r="J94" i="1"/>
  <c r="U94" i="1" s="1"/>
  <c r="V94" i="1" s="1"/>
  <c r="W94" i="1" s="1"/>
  <c r="X94" i="1" s="1"/>
  <c r="Y94" i="1" s="1"/>
  <c r="AC94" i="1" s="1"/>
  <c r="J95" i="1"/>
  <c r="U95" i="1" s="1"/>
  <c r="V95" i="1" s="1"/>
  <c r="W95" i="1" s="1"/>
  <c r="X95" i="1" s="1"/>
  <c r="Y95" i="1" s="1"/>
  <c r="AC95" i="1" s="1"/>
  <c r="AB154" i="1"/>
  <c r="U154" i="1"/>
  <c r="V154" i="1" s="1"/>
  <c r="J128" i="1"/>
  <c r="U128" i="1" s="1"/>
  <c r="V128" i="1" s="1"/>
  <c r="J129" i="1"/>
  <c r="U129" i="1" s="1"/>
  <c r="V129" i="1" s="1"/>
  <c r="AA77" i="1"/>
  <c r="AB77" i="1" s="1"/>
  <c r="L77" i="1"/>
  <c r="J77" i="1"/>
  <c r="U77" i="1" s="1"/>
  <c r="AB185" i="1"/>
  <c r="U185" i="1"/>
  <c r="V185" i="1" s="1"/>
  <c r="AB182" i="1"/>
  <c r="U182" i="1"/>
  <c r="V182" i="1" s="1"/>
  <c r="AB184" i="1"/>
  <c r="U184" i="1"/>
  <c r="V184" i="1" s="1"/>
  <c r="AB180" i="1"/>
  <c r="U180" i="1"/>
  <c r="V180" i="1" s="1"/>
  <c r="AB178" i="1"/>
  <c r="U178" i="1"/>
  <c r="V178" i="1" s="1"/>
  <c r="AB168" i="1"/>
  <c r="L168" i="1"/>
  <c r="U168" i="1"/>
  <c r="AB156" i="1"/>
  <c r="U156" i="1"/>
  <c r="V156" i="1" s="1"/>
  <c r="AB152" i="1"/>
  <c r="U152" i="1"/>
  <c r="V152" i="1" s="1"/>
  <c r="AB140" i="1"/>
  <c r="U140" i="1"/>
  <c r="V140" i="1" s="1"/>
  <c r="AB133" i="1"/>
  <c r="U133" i="1"/>
  <c r="V133" i="1" s="1"/>
  <c r="U107" i="1"/>
  <c r="V107" i="1" s="1"/>
  <c r="AB103" i="1"/>
  <c r="U103" i="1"/>
  <c r="V103" i="1" s="1"/>
  <c r="AB100" i="1"/>
  <c r="J100" i="1"/>
  <c r="U100" i="1" s="1"/>
  <c r="AB98" i="1"/>
  <c r="L98" i="1"/>
  <c r="J98" i="1"/>
  <c r="U98" i="1" s="1"/>
  <c r="AB82" i="1"/>
  <c r="J82" i="1"/>
  <c r="U82" i="1" s="1"/>
  <c r="V82" i="1" s="1"/>
  <c r="W82" i="1" s="1"/>
  <c r="X82" i="1" s="1"/>
  <c r="Y82" i="1" s="1"/>
  <c r="AC82" i="1" s="1"/>
  <c r="AB88" i="1"/>
  <c r="L88" i="1"/>
  <c r="U88" i="1"/>
  <c r="AB45" i="1"/>
  <c r="U45" i="1"/>
  <c r="V45" i="1" s="1"/>
  <c r="W45" i="1" s="1"/>
  <c r="X45" i="1" s="1"/>
  <c r="Y45" i="1" s="1"/>
  <c r="AC45" i="1" s="1"/>
  <c r="AB13" i="1"/>
  <c r="AB12" i="1"/>
  <c r="J12" i="1"/>
  <c r="U12" i="1" s="1"/>
  <c r="V12" i="1" s="1"/>
  <c r="W12" i="1" s="1"/>
  <c r="X12" i="1" s="1"/>
  <c r="Y12" i="1" s="1"/>
  <c r="AC12" i="1" s="1"/>
  <c r="U13" i="1"/>
  <c r="V13" i="1" s="1"/>
  <c r="W13" i="1" s="1"/>
  <c r="X13" i="1" s="1"/>
  <c r="Y13" i="1" s="1"/>
  <c r="AC13" i="1" s="1"/>
  <c r="V100" i="1" l="1"/>
  <c r="W100" i="1" s="1"/>
  <c r="X100" i="1" s="1"/>
  <c r="Y100" i="1" s="1"/>
  <c r="AC100" i="1" s="1"/>
  <c r="X273" i="1"/>
  <c r="Y273" i="1" s="1"/>
  <c r="AC273" i="1" s="1"/>
  <c r="X305" i="1"/>
  <c r="Y305" i="1" s="1"/>
  <c r="AC305" i="1" s="1"/>
  <c r="X254" i="1"/>
  <c r="Y254" i="1" s="1"/>
  <c r="AC254" i="1" s="1"/>
  <c r="X853" i="1"/>
  <c r="Y853" i="1" s="1"/>
  <c r="AC853" i="1" s="1"/>
  <c r="V88" i="1"/>
  <c r="W103" i="1"/>
  <c r="X103" i="1" s="1"/>
  <c r="Y103" i="1" s="1"/>
  <c r="AC103" i="1" s="1"/>
  <c r="W182" i="1"/>
  <c r="X182" i="1" s="1"/>
  <c r="Y182" i="1" s="1"/>
  <c r="AC182" i="1" s="1"/>
  <c r="W128" i="1"/>
  <c r="X128" i="1" s="1"/>
  <c r="Y128" i="1" s="1"/>
  <c r="AC128" i="1" s="1"/>
  <c r="W290" i="1"/>
  <c r="W156" i="1"/>
  <c r="X156" i="1" s="1"/>
  <c r="Y156" i="1" s="1"/>
  <c r="AC156" i="1" s="1"/>
  <c r="W107" i="1"/>
  <c r="X107" i="1" s="1"/>
  <c r="Y107" i="1" s="1"/>
  <c r="AC107" i="1" s="1"/>
  <c r="W178" i="1"/>
  <c r="X178" i="1" s="1"/>
  <c r="Y178" i="1" s="1"/>
  <c r="AC178" i="1" s="1"/>
  <c r="W184" i="1"/>
  <c r="X184" i="1" s="1"/>
  <c r="Y184" i="1" s="1"/>
  <c r="AC184" i="1" s="1"/>
  <c r="W185" i="1"/>
  <c r="X185" i="1" s="1"/>
  <c r="Y185" i="1" s="1"/>
  <c r="AC185" i="1" s="1"/>
  <c r="W180" i="1"/>
  <c r="X180" i="1" s="1"/>
  <c r="Y180" i="1" s="1"/>
  <c r="AC180" i="1" s="1"/>
  <c r="W140" i="1"/>
  <c r="X140" i="1" s="1"/>
  <c r="Y140" i="1" s="1"/>
  <c r="AC140" i="1" s="1"/>
  <c r="W154" i="1"/>
  <c r="X154" i="1" s="1"/>
  <c r="Y154" i="1" s="1"/>
  <c r="AC154" i="1" s="1"/>
  <c r="W133" i="1"/>
  <c r="X133" i="1" s="1"/>
  <c r="Y133" i="1" s="1"/>
  <c r="AC133" i="1" s="1"/>
  <c r="W152" i="1"/>
  <c r="X152" i="1" s="1"/>
  <c r="Y152" i="1" s="1"/>
  <c r="AC152" i="1" s="1"/>
  <c r="W129" i="1"/>
  <c r="X129" i="1" s="1"/>
  <c r="Y129" i="1" s="1"/>
  <c r="AC129" i="1" s="1"/>
  <c r="V168" i="1"/>
  <c r="V93" i="1"/>
  <c r="W93" i="1" s="1"/>
  <c r="X93" i="1" s="1"/>
  <c r="Y93" i="1" s="1"/>
  <c r="AC93" i="1" s="1"/>
  <c r="V77" i="1"/>
  <c r="W77" i="1" s="1"/>
  <c r="X77" i="1" s="1"/>
  <c r="Y77" i="1" s="1"/>
  <c r="AC77" i="1" s="1"/>
  <c r="V98" i="1"/>
  <c r="Q49" i="1"/>
  <c r="Q138" i="1"/>
  <c r="Q54" i="1"/>
  <c r="Q164" i="1"/>
  <c r="W98" i="1" l="1"/>
  <c r="X98" i="1" s="1"/>
  <c r="Y98" i="1" s="1"/>
  <c r="AC98" i="1" s="1"/>
  <c r="X290" i="1"/>
  <c r="Y290" i="1" s="1"/>
  <c r="AC290" i="1" s="1"/>
  <c r="W88" i="1"/>
  <c r="X88" i="1" s="1"/>
  <c r="Y88" i="1" s="1"/>
  <c r="AC88" i="1" s="1"/>
  <c r="W168" i="1"/>
  <c r="X168" i="1" s="1"/>
  <c r="Y168" i="1" s="1"/>
  <c r="AC168" i="1" s="1"/>
  <c r="AB15" i="1"/>
  <c r="U15" i="1"/>
  <c r="V15" i="1" s="1"/>
  <c r="W15" i="1" s="1"/>
  <c r="X15" i="1" s="1"/>
  <c r="Y15" i="1" s="1"/>
  <c r="AC15" i="1" s="1"/>
  <c r="Q234" i="1" l="1"/>
  <c r="Q211" i="1"/>
  <c r="Q222" i="1"/>
  <c r="Q84" i="1"/>
  <c r="Q42" i="1"/>
  <c r="Q174" i="1" l="1"/>
  <c r="Q44" i="1"/>
  <c r="Q58" i="1"/>
  <c r="Q270" i="1" l="1"/>
  <c r="Q268" i="1"/>
  <c r="Q281" i="1"/>
  <c r="Q259" i="1"/>
  <c r="Q275" i="1"/>
  <c r="Q295" i="1"/>
  <c r="Q255" i="1"/>
  <c r="Q159" i="1"/>
  <c r="Q243" i="1"/>
  <c r="Q81" i="1" l="1"/>
  <c r="Q97" i="1"/>
  <c r="Q171" i="1"/>
  <c r="Q28" i="1"/>
  <c r="Q158" i="1"/>
  <c r="Q132" i="1"/>
  <c r="Q130" i="1"/>
  <c r="Q142" i="1" l="1"/>
  <c r="Q139" i="1"/>
  <c r="Q143" i="1"/>
  <c r="Q85" i="1"/>
  <c r="Q176" i="1"/>
  <c r="Q67" i="1"/>
  <c r="Q167" i="1"/>
  <c r="Q32" i="1"/>
  <c r="Q233" i="1"/>
  <c r="AB798" i="1" l="1"/>
  <c r="J798" i="1"/>
  <c r="U798" i="1" l="1"/>
  <c r="V798" i="1" s="1"/>
  <c r="W798" i="1" s="1"/>
  <c r="Q643" i="1"/>
  <c r="X798" i="1" l="1"/>
  <c r="Y798" i="1" s="1"/>
  <c r="AC798" i="1" s="1"/>
  <c r="Q772" i="1"/>
  <c r="Q718" i="1"/>
  <c r="Q209" i="1" l="1"/>
  <c r="Q198" i="1"/>
  <c r="Q199" i="1"/>
  <c r="Q147" i="1" l="1"/>
  <c r="Q56" i="1"/>
  <c r="Q136" i="1"/>
  <c r="Q102" i="1"/>
  <c r="Q34" i="1"/>
  <c r="Q754" i="1"/>
  <c r="Q756" i="1"/>
  <c r="Q153" i="1"/>
  <c r="Q18" i="1"/>
  <c r="Q283" i="1"/>
  <c r="AB84" i="1" l="1"/>
  <c r="U84" i="1"/>
  <c r="V84" i="1" s="1"/>
  <c r="W84" i="1" s="1"/>
  <c r="X84" i="1" s="1"/>
  <c r="Y84" i="1" s="1"/>
  <c r="AC84" i="1" s="1"/>
  <c r="AB190" i="1"/>
  <c r="J190" i="1"/>
  <c r="U190" i="1" s="1"/>
  <c r="V190" i="1" s="1"/>
  <c r="W190" i="1" l="1"/>
  <c r="X190" i="1" s="1"/>
  <c r="Y190" i="1" s="1"/>
  <c r="AC190" i="1" s="1"/>
  <c r="Q214" i="1"/>
  <c r="AB296" i="1" l="1"/>
  <c r="AB297" i="1"/>
  <c r="U296" i="1"/>
  <c r="U297" i="1"/>
  <c r="L146" i="1"/>
  <c r="V297" i="1" l="1"/>
  <c r="V296" i="1"/>
  <c r="Q14" i="1"/>
  <c r="Q144" i="1"/>
  <c r="Q109" i="1"/>
  <c r="W296" i="1" l="1"/>
  <c r="W297" i="1"/>
  <c r="Q64" i="1"/>
  <c r="X297" i="1" l="1"/>
  <c r="Y297" i="1" s="1"/>
  <c r="AC297" i="1" s="1"/>
  <c r="X296" i="1"/>
  <c r="Y296" i="1" s="1"/>
  <c r="AC296" i="1" s="1"/>
  <c r="U243" i="1"/>
  <c r="V243" i="1" s="1"/>
  <c r="W243" i="1" s="1"/>
  <c r="X243" i="1" s="1"/>
  <c r="Y243" i="1" s="1"/>
  <c r="AC243" i="1" s="1"/>
  <c r="Q294" i="1" l="1"/>
  <c r="Q261" i="1"/>
  <c r="Q264" i="1"/>
  <c r="Q768" i="1"/>
  <c r="Q757" i="1"/>
  <c r="Q621" i="1" l="1"/>
  <c r="Q655" i="1"/>
  <c r="Q680" i="1"/>
  <c r="Q78" i="1"/>
  <c r="Q46" i="1" l="1"/>
  <c r="Q141" i="1" l="1"/>
  <c r="Q213" i="1" l="1"/>
  <c r="Q288" i="1"/>
  <c r="Q274" i="1" l="1"/>
  <c r="Q278" i="1"/>
  <c r="Q111" i="1"/>
  <c r="Q548" i="1"/>
  <c r="Q371" i="1"/>
  <c r="Q397" i="1"/>
  <c r="Q749" i="1"/>
  <c r="Q251" i="1"/>
  <c r="Q329" i="1" l="1"/>
  <c r="Q382" i="1"/>
  <c r="Q304" i="1" l="1"/>
  <c r="P195" i="1" l="1"/>
  <c r="Q237" i="1" l="1"/>
  <c r="Q535" i="1" l="1"/>
  <c r="Q620" i="1"/>
  <c r="Q493" i="1" l="1"/>
  <c r="Q500" i="1"/>
  <c r="Q780" i="1" l="1"/>
  <c r="Q555" i="1" l="1"/>
  <c r="Q488" i="1"/>
  <c r="Q43" i="1" l="1"/>
  <c r="P304" i="1" l="1"/>
  <c r="P164" i="1"/>
  <c r="J436" i="1"/>
  <c r="J752" i="1"/>
  <c r="AB780" i="1" l="1"/>
  <c r="V610" i="1"/>
  <c r="V664" i="1"/>
  <c r="AB863" i="1" l="1"/>
  <c r="P750" i="1" l="1"/>
  <c r="P136" i="1"/>
  <c r="P99" i="1"/>
  <c r="P146" i="1"/>
  <c r="P270" i="1"/>
  <c r="P295" i="1"/>
  <c r="P294" i="1"/>
  <c r="P241" i="1"/>
  <c r="P288" i="1"/>
  <c r="P281" i="1"/>
  <c r="P278" i="1"/>
  <c r="P259" i="1"/>
  <c r="P275" i="1"/>
  <c r="P198" i="1"/>
  <c r="P199" i="1"/>
  <c r="P222" i="1"/>
  <c r="P283" i="1"/>
  <c r="P209" i="1"/>
  <c r="P233" i="1"/>
  <c r="P234" i="1"/>
  <c r="P206" i="1"/>
  <c r="P395" i="1"/>
  <c r="P447" i="1"/>
  <c r="P655" i="1"/>
  <c r="P50" i="1"/>
  <c r="P52" i="1"/>
  <c r="P232" i="1"/>
  <c r="P126" i="1"/>
  <c r="P158" i="1"/>
  <c r="P102" i="1"/>
  <c r="P159" i="1"/>
  <c r="P97" i="1"/>
  <c r="P92" i="1"/>
  <c r="P67" i="1"/>
  <c r="P60" i="1"/>
  <c r="P44" i="1"/>
  <c r="P176" i="1"/>
  <c r="P106" i="1"/>
  <c r="P18" i="1"/>
  <c r="P56" i="1"/>
  <c r="P153" i="1"/>
  <c r="P139" i="1"/>
  <c r="P174" i="1"/>
  <c r="P167" i="1"/>
  <c r="P329" i="1"/>
  <c r="P216" i="1"/>
  <c r="P268" i="1"/>
  <c r="P302" i="1"/>
  <c r="P240" i="1"/>
  <c r="P274" i="1"/>
  <c r="P58" i="1"/>
  <c r="P78" i="1"/>
  <c r="P54" i="1" l="1"/>
  <c r="P109" i="1" l="1"/>
  <c r="P142" i="1"/>
  <c r="P141" i="1"/>
  <c r="P144" i="1"/>
  <c r="P46" i="1"/>
  <c r="P171" i="1"/>
  <c r="P151" i="1"/>
  <c r="P783" i="1"/>
  <c r="P132" i="1"/>
  <c r="P255" i="1"/>
  <c r="P768" i="1" l="1"/>
  <c r="P715" i="1"/>
  <c r="P134" i="1"/>
  <c r="P267" i="1"/>
  <c r="P680" i="1"/>
  <c r="P143" i="1"/>
  <c r="P81" i="1"/>
  <c r="P113" i="1"/>
  <c r="P115" i="1"/>
  <c r="P237" i="1" l="1"/>
  <c r="P247" i="1"/>
  <c r="P643" i="1"/>
  <c r="P716" i="1"/>
  <c r="P165" i="1" l="1"/>
  <c r="P83" i="1"/>
  <c r="P125" i="1"/>
  <c r="P445" i="1" l="1"/>
  <c r="P147" i="1"/>
  <c r="P251" i="1"/>
  <c r="P363" i="1"/>
  <c r="P399" i="1"/>
  <c r="P34" i="1"/>
  <c r="P32" i="1"/>
  <c r="P30" i="1"/>
  <c r="P14" i="1"/>
  <c r="P155" i="1"/>
  <c r="P48" i="1"/>
  <c r="P497" i="1"/>
  <c r="P503" i="1"/>
  <c r="P49" i="1"/>
  <c r="P111" i="1"/>
  <c r="P211" i="1"/>
  <c r="P24" i="1" l="1"/>
  <c r="U866" i="1" l="1"/>
  <c r="V866" i="1" s="1"/>
  <c r="J863" i="1"/>
  <c r="U863" i="1" s="1"/>
  <c r="V863" i="1" s="1"/>
  <c r="W863" i="1" l="1"/>
  <c r="W866" i="1"/>
  <c r="J253" i="1"/>
  <c r="X866" i="1" l="1"/>
  <c r="Y866" i="1" s="1"/>
  <c r="AC866" i="1" s="1"/>
  <c r="X863" i="1"/>
  <c r="Y863" i="1" s="1"/>
  <c r="AC863" i="1" s="1"/>
  <c r="U253" i="1"/>
  <c r="V253" i="1" s="1"/>
  <c r="AB195" i="1"/>
  <c r="W253" i="1" l="1"/>
  <c r="X253" i="1" l="1"/>
  <c r="Y253" i="1" s="1"/>
  <c r="AC253" i="1" s="1"/>
  <c r="W118" i="1"/>
  <c r="X118" i="1" s="1"/>
  <c r="Y118" i="1" s="1"/>
  <c r="AC118" i="1" s="1"/>
  <c r="J10" i="1"/>
  <c r="U10" i="1" s="1"/>
  <c r="V10" i="1" s="1"/>
  <c r="W10" i="1" s="1"/>
  <c r="X10" i="1" s="1"/>
  <c r="Y10" i="1" s="1"/>
  <c r="J11" i="1"/>
  <c r="U11" i="1" s="1"/>
  <c r="V11" i="1" s="1"/>
  <c r="W11" i="1" s="1"/>
  <c r="X11" i="1" s="1"/>
  <c r="Y11" i="1" s="1"/>
  <c r="AC11" i="1" s="1"/>
  <c r="J14" i="1"/>
  <c r="U14" i="1" s="1"/>
  <c r="J16" i="1"/>
  <c r="U16" i="1" s="1"/>
  <c r="V16" i="1" s="1"/>
  <c r="W16" i="1" s="1"/>
  <c r="X16" i="1" s="1"/>
  <c r="Y16" i="1" s="1"/>
  <c r="AC16" i="1" s="1"/>
  <c r="J21" i="1"/>
  <c r="U21" i="1" s="1"/>
  <c r="V21" i="1" s="1"/>
  <c r="W21" i="1" s="1"/>
  <c r="X21" i="1" s="1"/>
  <c r="Y21" i="1" s="1"/>
  <c r="AC21" i="1" s="1"/>
  <c r="J22" i="1"/>
  <c r="U22" i="1" s="1"/>
  <c r="V22" i="1" s="1"/>
  <c r="W22" i="1" s="1"/>
  <c r="X22" i="1" s="1"/>
  <c r="Y22" i="1" s="1"/>
  <c r="AC22" i="1" s="1"/>
  <c r="J23" i="1"/>
  <c r="U23" i="1" s="1"/>
  <c r="V23" i="1" s="1"/>
  <c r="W23" i="1" s="1"/>
  <c r="X23" i="1" s="1"/>
  <c r="Y23" i="1" s="1"/>
  <c r="AC23" i="1" s="1"/>
  <c r="J24" i="1"/>
  <c r="U24" i="1" s="1"/>
  <c r="V24" i="1" s="1"/>
  <c r="W24" i="1" s="1"/>
  <c r="X24" i="1" s="1"/>
  <c r="Y24" i="1" s="1"/>
  <c r="AC24" i="1" s="1"/>
  <c r="J26" i="1"/>
  <c r="U26" i="1" s="1"/>
  <c r="V26" i="1" s="1"/>
  <c r="W26" i="1" s="1"/>
  <c r="X26" i="1" s="1"/>
  <c r="Y26" i="1" s="1"/>
  <c r="AC26" i="1" s="1"/>
  <c r="J34" i="1"/>
  <c r="U34" i="1" s="1"/>
  <c r="V34" i="1" s="1"/>
  <c r="W34" i="1" s="1"/>
  <c r="X34" i="1" s="1"/>
  <c r="Y34" i="1" s="1"/>
  <c r="AC34" i="1" s="1"/>
  <c r="J36" i="1"/>
  <c r="U36" i="1" s="1"/>
  <c r="V36" i="1" s="1"/>
  <c r="W36" i="1" s="1"/>
  <c r="X36" i="1" s="1"/>
  <c r="Y36" i="1" s="1"/>
  <c r="AC36" i="1" s="1"/>
  <c r="J38" i="1"/>
  <c r="U38" i="1" s="1"/>
  <c r="V38" i="1" s="1"/>
  <c r="W38" i="1" s="1"/>
  <c r="X38" i="1" s="1"/>
  <c r="Y38" i="1" s="1"/>
  <c r="AC38" i="1" s="1"/>
  <c r="J39" i="1"/>
  <c r="U39" i="1" s="1"/>
  <c r="V39" i="1" s="1"/>
  <c r="W39" i="1" s="1"/>
  <c r="X39" i="1" s="1"/>
  <c r="Y39" i="1" s="1"/>
  <c r="AC39" i="1" s="1"/>
  <c r="J41" i="1"/>
  <c r="U41" i="1" s="1"/>
  <c r="V41" i="1" s="1"/>
  <c r="W41" i="1" s="1"/>
  <c r="X41" i="1" s="1"/>
  <c r="Y41" i="1" s="1"/>
  <c r="AC41" i="1" s="1"/>
  <c r="J42" i="1"/>
  <c r="U42" i="1" s="1"/>
  <c r="V42" i="1" s="1"/>
  <c r="W42" i="1" s="1"/>
  <c r="X42" i="1" s="1"/>
  <c r="Y42" i="1" s="1"/>
  <c r="AC42" i="1" s="1"/>
  <c r="J43" i="1"/>
  <c r="U43" i="1" s="1"/>
  <c r="V43" i="1" s="1"/>
  <c r="W43" i="1" s="1"/>
  <c r="X43" i="1" s="1"/>
  <c r="Y43" i="1" s="1"/>
  <c r="AC43" i="1" s="1"/>
  <c r="J46" i="1"/>
  <c r="U46" i="1" s="1"/>
  <c r="V46" i="1" s="1"/>
  <c r="W46" i="1" s="1"/>
  <c r="X46" i="1" s="1"/>
  <c r="Y46" i="1" s="1"/>
  <c r="AC46" i="1" s="1"/>
  <c r="U47" i="1"/>
  <c r="V47" i="1" s="1"/>
  <c r="W47" i="1" s="1"/>
  <c r="X47" i="1" s="1"/>
  <c r="Y47" i="1" s="1"/>
  <c r="AC47" i="1" s="1"/>
  <c r="J48" i="1"/>
  <c r="U48" i="1" s="1"/>
  <c r="V48" i="1" s="1"/>
  <c r="W48" i="1" s="1"/>
  <c r="X48" i="1" s="1"/>
  <c r="Y48" i="1" s="1"/>
  <c r="AC48" i="1" s="1"/>
  <c r="J49" i="1"/>
  <c r="U49" i="1" s="1"/>
  <c r="V49" i="1" s="1"/>
  <c r="W49" i="1" s="1"/>
  <c r="X49" i="1" s="1"/>
  <c r="Y49" i="1" s="1"/>
  <c r="AC49" i="1" s="1"/>
  <c r="J50" i="1"/>
  <c r="U50" i="1" s="1"/>
  <c r="V50" i="1" s="1"/>
  <c r="W50" i="1" s="1"/>
  <c r="X50" i="1" s="1"/>
  <c r="Y50" i="1" s="1"/>
  <c r="AC50" i="1" s="1"/>
  <c r="J51" i="1"/>
  <c r="U51" i="1" s="1"/>
  <c r="V51" i="1" s="1"/>
  <c r="W51" i="1" s="1"/>
  <c r="X51" i="1" s="1"/>
  <c r="Y51" i="1" s="1"/>
  <c r="AC51" i="1" s="1"/>
  <c r="J52" i="1"/>
  <c r="U52" i="1" s="1"/>
  <c r="V52" i="1" s="1"/>
  <c r="W52" i="1" s="1"/>
  <c r="X52" i="1" s="1"/>
  <c r="Y52" i="1" s="1"/>
  <c r="AC52" i="1" s="1"/>
  <c r="J53" i="1"/>
  <c r="U53" i="1" s="1"/>
  <c r="V53" i="1" s="1"/>
  <c r="W53" i="1" s="1"/>
  <c r="X53" i="1" s="1"/>
  <c r="Y53" i="1" s="1"/>
  <c r="AC53" i="1" s="1"/>
  <c r="J59" i="1"/>
  <c r="U59" i="1" s="1"/>
  <c r="V59" i="1" s="1"/>
  <c r="W59" i="1" s="1"/>
  <c r="X59" i="1" s="1"/>
  <c r="Y59" i="1" s="1"/>
  <c r="AC59" i="1" s="1"/>
  <c r="J61" i="1"/>
  <c r="U61" i="1" s="1"/>
  <c r="V61" i="1" s="1"/>
  <c r="W61" i="1" s="1"/>
  <c r="X61" i="1" s="1"/>
  <c r="Y61" i="1" s="1"/>
  <c r="AC61" i="1" s="1"/>
  <c r="U62" i="1"/>
  <c r="V62" i="1" s="1"/>
  <c r="W62" i="1" s="1"/>
  <c r="X62" i="1" s="1"/>
  <c r="Y62" i="1" s="1"/>
  <c r="AC62" i="1" s="1"/>
  <c r="J63" i="1"/>
  <c r="U63" i="1" s="1"/>
  <c r="V63" i="1" s="1"/>
  <c r="W63" i="1" s="1"/>
  <c r="X63" i="1" s="1"/>
  <c r="Y63" i="1" s="1"/>
  <c r="AC63" i="1" s="1"/>
  <c r="J64" i="1"/>
  <c r="U64" i="1" s="1"/>
  <c r="V64" i="1" s="1"/>
  <c r="W64" i="1" s="1"/>
  <c r="X64" i="1" s="1"/>
  <c r="Y64" i="1" s="1"/>
  <c r="AC64" i="1" s="1"/>
  <c r="J65" i="1"/>
  <c r="U65" i="1" s="1"/>
  <c r="V65" i="1" s="1"/>
  <c r="W65" i="1" s="1"/>
  <c r="X65" i="1" s="1"/>
  <c r="Y65" i="1" s="1"/>
  <c r="AC65" i="1" s="1"/>
  <c r="J66" i="1"/>
  <c r="U66" i="1" s="1"/>
  <c r="V66" i="1" s="1"/>
  <c r="W66" i="1" s="1"/>
  <c r="X66" i="1" s="1"/>
  <c r="Y66" i="1" s="1"/>
  <c r="AC66" i="1" s="1"/>
  <c r="J69" i="1"/>
  <c r="U69" i="1" s="1"/>
  <c r="V69" i="1" s="1"/>
  <c r="W69" i="1" s="1"/>
  <c r="X69" i="1" s="1"/>
  <c r="Y69" i="1" s="1"/>
  <c r="AC69" i="1" s="1"/>
  <c r="J71" i="1"/>
  <c r="U71" i="1" s="1"/>
  <c r="V71" i="1" s="1"/>
  <c r="W71" i="1" s="1"/>
  <c r="X71" i="1" s="1"/>
  <c r="Y71" i="1" s="1"/>
  <c r="AC71" i="1" s="1"/>
  <c r="J73" i="1"/>
  <c r="U73" i="1" s="1"/>
  <c r="V73" i="1" s="1"/>
  <c r="W73" i="1" s="1"/>
  <c r="X73" i="1" s="1"/>
  <c r="Y73" i="1" s="1"/>
  <c r="AC73" i="1" s="1"/>
  <c r="J76" i="1"/>
  <c r="U76" i="1" s="1"/>
  <c r="V76" i="1" s="1"/>
  <c r="W76" i="1" s="1"/>
  <c r="X76" i="1" s="1"/>
  <c r="Y76" i="1" s="1"/>
  <c r="AC76" i="1" s="1"/>
  <c r="J80" i="1"/>
  <c r="U80" i="1" s="1"/>
  <c r="V80" i="1" s="1"/>
  <c r="W80" i="1" s="1"/>
  <c r="X80" i="1" s="1"/>
  <c r="Y80" i="1" s="1"/>
  <c r="AC80" i="1" s="1"/>
  <c r="J85" i="1"/>
  <c r="U85" i="1" s="1"/>
  <c r="V85" i="1" s="1"/>
  <c r="W85" i="1" s="1"/>
  <c r="X85" i="1" s="1"/>
  <c r="Y85" i="1" s="1"/>
  <c r="AC85" i="1" s="1"/>
  <c r="J86" i="1"/>
  <c r="U86" i="1" s="1"/>
  <c r="V86" i="1" s="1"/>
  <c r="W86" i="1" s="1"/>
  <c r="X86" i="1" s="1"/>
  <c r="Y86" i="1" s="1"/>
  <c r="AC86" i="1" s="1"/>
  <c r="J87" i="1"/>
  <c r="U87" i="1" s="1"/>
  <c r="V87" i="1" s="1"/>
  <c r="W87" i="1" s="1"/>
  <c r="X87" i="1" s="1"/>
  <c r="Y87" i="1" s="1"/>
  <c r="J91" i="1"/>
  <c r="U91" i="1" s="1"/>
  <c r="V91" i="1" s="1"/>
  <c r="W91" i="1" s="1"/>
  <c r="X91" i="1" s="1"/>
  <c r="Y91" i="1" s="1"/>
  <c r="AC91" i="1" s="1"/>
  <c r="J96" i="1"/>
  <c r="U96" i="1" s="1"/>
  <c r="V96" i="1" s="1"/>
  <c r="W96" i="1" s="1"/>
  <c r="X96" i="1" s="1"/>
  <c r="Y96" i="1" s="1"/>
  <c r="AC96" i="1" s="1"/>
  <c r="U99" i="1"/>
  <c r="V99" i="1" s="1"/>
  <c r="W99" i="1" s="1"/>
  <c r="X99" i="1" s="1"/>
  <c r="Y99" i="1" s="1"/>
  <c r="AC99" i="1" s="1"/>
  <c r="J105" i="1"/>
  <c r="U105" i="1" s="1"/>
  <c r="V105" i="1" s="1"/>
  <c r="J108" i="1"/>
  <c r="U108" i="1" s="1"/>
  <c r="V108" i="1" s="1"/>
  <c r="J109" i="1"/>
  <c r="U109" i="1" s="1"/>
  <c r="V109" i="1" s="1"/>
  <c r="J110" i="1"/>
  <c r="U110" i="1" s="1"/>
  <c r="V110" i="1" s="1"/>
  <c r="J111" i="1"/>
  <c r="U111" i="1" s="1"/>
  <c r="V111" i="1" s="1"/>
  <c r="J113" i="1"/>
  <c r="U113" i="1" s="1"/>
  <c r="V113" i="1" s="1"/>
  <c r="J115" i="1"/>
  <c r="U115" i="1" s="1"/>
  <c r="V115" i="1" s="1"/>
  <c r="V119" i="1"/>
  <c r="J120" i="1"/>
  <c r="U120" i="1" s="1"/>
  <c r="V120" i="1" s="1"/>
  <c r="J122" i="1"/>
  <c r="U122" i="1" s="1"/>
  <c r="V122" i="1" s="1"/>
  <c r="J125" i="1"/>
  <c r="U125" i="1" s="1"/>
  <c r="V125" i="1" s="1"/>
  <c r="J126" i="1"/>
  <c r="U126" i="1" s="1"/>
  <c r="V126" i="1" s="1"/>
  <c r="U127" i="1"/>
  <c r="V127" i="1" s="1"/>
  <c r="J130" i="1"/>
  <c r="U130" i="1" s="1"/>
  <c r="V130" i="1" s="1"/>
  <c r="J132" i="1"/>
  <c r="U132" i="1" s="1"/>
  <c r="V132" i="1" s="1"/>
  <c r="J138" i="1"/>
  <c r="U138" i="1" s="1"/>
  <c r="V138" i="1" s="1"/>
  <c r="U139" i="1"/>
  <c r="V139" i="1" s="1"/>
  <c r="J141" i="1"/>
  <c r="U141" i="1" s="1"/>
  <c r="V141" i="1" s="1"/>
  <c r="J142" i="1"/>
  <c r="U142" i="1" s="1"/>
  <c r="V142" i="1" s="1"/>
  <c r="J143" i="1"/>
  <c r="U143" i="1" s="1"/>
  <c r="V143" i="1" s="1"/>
  <c r="J144" i="1"/>
  <c r="U144" i="1" s="1"/>
  <c r="V144" i="1" s="1"/>
  <c r="J145" i="1"/>
  <c r="U145" i="1" s="1"/>
  <c r="V145" i="1" s="1"/>
  <c r="J147" i="1"/>
  <c r="U147" i="1" s="1"/>
  <c r="V147" i="1" s="1"/>
  <c r="J148" i="1"/>
  <c r="U148" i="1" s="1"/>
  <c r="V148" i="1" s="1"/>
  <c r="J149" i="1"/>
  <c r="U149" i="1" s="1"/>
  <c r="V149" i="1" s="1"/>
  <c r="J151" i="1"/>
  <c r="U151" i="1" s="1"/>
  <c r="V151" i="1" s="1"/>
  <c r="J155" i="1"/>
  <c r="U155" i="1" s="1"/>
  <c r="V155" i="1" s="1"/>
  <c r="J157" i="1"/>
  <c r="U157" i="1" s="1"/>
  <c r="V157" i="1" s="1"/>
  <c r="J159" i="1"/>
  <c r="U159" i="1" s="1"/>
  <c r="V159" i="1" s="1"/>
  <c r="J160" i="1"/>
  <c r="U160" i="1" s="1"/>
  <c r="V160" i="1" s="1"/>
  <c r="J161" i="1"/>
  <c r="U161" i="1" s="1"/>
  <c r="V161" i="1" s="1"/>
  <c r="J163" i="1"/>
  <c r="U163" i="1" s="1"/>
  <c r="V163" i="1" s="1"/>
  <c r="J164" i="1"/>
  <c r="U164" i="1" s="1"/>
  <c r="V164" i="1" s="1"/>
  <c r="J165" i="1"/>
  <c r="U165" i="1" s="1"/>
  <c r="V165" i="1" s="1"/>
  <c r="J167" i="1"/>
  <c r="U167" i="1" s="1"/>
  <c r="V167" i="1" s="1"/>
  <c r="J169" i="1"/>
  <c r="U169" i="1" s="1"/>
  <c r="V169" i="1" s="1"/>
  <c r="J173" i="1"/>
  <c r="U173" i="1" s="1"/>
  <c r="V173" i="1" s="1"/>
  <c r="J174" i="1"/>
  <c r="U174" i="1" s="1"/>
  <c r="V174" i="1" s="1"/>
  <c r="J177" i="1"/>
  <c r="U177" i="1" s="1"/>
  <c r="V177" i="1" s="1"/>
  <c r="J179" i="1"/>
  <c r="U179" i="1" s="1"/>
  <c r="V179" i="1" s="1"/>
  <c r="J181" i="1"/>
  <c r="U181" i="1" s="1"/>
  <c r="V181" i="1" s="1"/>
  <c r="J183" i="1"/>
  <c r="U183" i="1" s="1"/>
  <c r="V183" i="1" s="1"/>
  <c r="J186" i="1"/>
  <c r="U186" i="1" s="1"/>
  <c r="V186" i="1" s="1"/>
  <c r="J187" i="1"/>
  <c r="U187" i="1" s="1"/>
  <c r="V187" i="1" s="1"/>
  <c r="J188" i="1"/>
  <c r="U188" i="1" s="1"/>
  <c r="V188" i="1" s="1"/>
  <c r="J189" i="1"/>
  <c r="U189" i="1" s="1"/>
  <c r="V189" i="1" s="1"/>
  <c r="U191" i="1"/>
  <c r="V191" i="1" s="1"/>
  <c r="U203" i="1"/>
  <c r="V203" i="1" s="1"/>
  <c r="J204" i="1"/>
  <c r="U204" i="1" s="1"/>
  <c r="V204" i="1" s="1"/>
  <c r="J211" i="1"/>
  <c r="U211" i="1" s="1"/>
  <c r="V211" i="1" s="1"/>
  <c r="J213" i="1"/>
  <c r="U213" i="1" s="1"/>
  <c r="V213" i="1" s="1"/>
  <c r="J214" i="1"/>
  <c r="U214" i="1" s="1"/>
  <c r="V214" i="1" s="1"/>
  <c r="J219" i="1"/>
  <c r="U219" i="1" s="1"/>
  <c r="V219" i="1" s="1"/>
  <c r="J220" i="1"/>
  <c r="U220" i="1" s="1"/>
  <c r="V220" i="1" s="1"/>
  <c r="J225" i="1"/>
  <c r="U225" i="1" s="1"/>
  <c r="V225" i="1" s="1"/>
  <c r="J229" i="1"/>
  <c r="U229" i="1" s="1"/>
  <c r="V229" i="1" s="1"/>
  <c r="J237" i="1"/>
  <c r="U237" i="1" s="1"/>
  <c r="V237" i="1" s="1"/>
  <c r="J244" i="1"/>
  <c r="U244" i="1" s="1"/>
  <c r="V244" i="1" s="1"/>
  <c r="J245" i="1"/>
  <c r="U245" i="1" s="1"/>
  <c r="V245" i="1" s="1"/>
  <c r="J250" i="1"/>
  <c r="U250" i="1" s="1"/>
  <c r="V250" i="1" s="1"/>
  <c r="J252" i="1"/>
  <c r="U252" i="1" s="1"/>
  <c r="V252" i="1" s="1"/>
  <c r="J255" i="1"/>
  <c r="U255" i="1" s="1"/>
  <c r="V255" i="1" s="1"/>
  <c r="J257" i="1"/>
  <c r="U257" i="1" s="1"/>
  <c r="V257" i="1" s="1"/>
  <c r="J260" i="1"/>
  <c r="U260" i="1" s="1"/>
  <c r="V260" i="1" s="1"/>
  <c r="J261" i="1"/>
  <c r="U261" i="1" s="1"/>
  <c r="V261" i="1" s="1"/>
  <c r="J263" i="1"/>
  <c r="U263" i="1" s="1"/>
  <c r="V263" i="1" s="1"/>
  <c r="J265" i="1"/>
  <c r="U265" i="1" s="1"/>
  <c r="V265" i="1" s="1"/>
  <c r="J266" i="1"/>
  <c r="U266" i="1" s="1"/>
  <c r="V266" i="1" s="1"/>
  <c r="J267" i="1"/>
  <c r="U267" i="1" s="1"/>
  <c r="V267" i="1" s="1"/>
  <c r="U274" i="1"/>
  <c r="V274" i="1" s="1"/>
  <c r="J277" i="1"/>
  <c r="U277" i="1" s="1"/>
  <c r="V277" i="1" s="1"/>
  <c r="J279" i="1"/>
  <c r="U279" i="1" s="1"/>
  <c r="V279" i="1" s="1"/>
  <c r="J280" i="1"/>
  <c r="U280" i="1" s="1"/>
  <c r="V280" i="1" s="1"/>
  <c r="J285" i="1"/>
  <c r="U285" i="1" s="1"/>
  <c r="V285" i="1" s="1"/>
  <c r="J286" i="1"/>
  <c r="U286" i="1" s="1"/>
  <c r="V286" i="1" s="1"/>
  <c r="J287" i="1"/>
  <c r="U287" i="1" s="1"/>
  <c r="V287" i="1" s="1"/>
  <c r="J291" i="1"/>
  <c r="U291" i="1" s="1"/>
  <c r="V291" i="1" s="1"/>
  <c r="J292" i="1"/>
  <c r="U292" i="1" s="1"/>
  <c r="V292" i="1" s="1"/>
  <c r="J293" i="1"/>
  <c r="U293" i="1" s="1"/>
  <c r="V293" i="1" s="1"/>
  <c r="U301" i="1"/>
  <c r="V301" i="1" s="1"/>
  <c r="J304" i="1"/>
  <c r="U304" i="1" s="1"/>
  <c r="V304" i="1" s="1"/>
  <c r="J311" i="1"/>
  <c r="U311" i="1" s="1"/>
  <c r="V311" i="1" s="1"/>
  <c r="J312" i="1"/>
  <c r="U312" i="1" s="1"/>
  <c r="V312" i="1" s="1"/>
  <c r="U313" i="1"/>
  <c r="V313" i="1" s="1"/>
  <c r="U314" i="1"/>
  <c r="V314" i="1" s="1"/>
  <c r="J315" i="1"/>
  <c r="U315" i="1" s="1"/>
  <c r="V315" i="1" s="1"/>
  <c r="J316" i="1"/>
  <c r="U316" i="1" s="1"/>
  <c r="V316" i="1" s="1"/>
  <c r="J317" i="1"/>
  <c r="U317" i="1" s="1"/>
  <c r="V317" i="1" s="1"/>
  <c r="J318" i="1"/>
  <c r="U318" i="1" s="1"/>
  <c r="V318" i="1" s="1"/>
  <c r="J319" i="1"/>
  <c r="U319" i="1" s="1"/>
  <c r="V319" i="1" s="1"/>
  <c r="J320" i="1"/>
  <c r="U320" i="1" s="1"/>
  <c r="V320" i="1" s="1"/>
  <c r="J321" i="1"/>
  <c r="U321" i="1" s="1"/>
  <c r="V321" i="1" s="1"/>
  <c r="J322" i="1"/>
  <c r="U322" i="1" s="1"/>
  <c r="V322" i="1" s="1"/>
  <c r="J323" i="1"/>
  <c r="U323" i="1" s="1"/>
  <c r="V323" i="1" s="1"/>
  <c r="J324" i="1"/>
  <c r="U324" i="1" s="1"/>
  <c r="V324" i="1" s="1"/>
  <c r="J325" i="1"/>
  <c r="U325" i="1" s="1"/>
  <c r="V325" i="1" s="1"/>
  <c r="J326" i="1"/>
  <c r="U326" i="1" s="1"/>
  <c r="V326" i="1" s="1"/>
  <c r="J327" i="1"/>
  <c r="U327" i="1" s="1"/>
  <c r="V327" i="1" s="1"/>
  <c r="J328" i="1"/>
  <c r="U328" i="1" s="1"/>
  <c r="V328" i="1" s="1"/>
  <c r="J331" i="1"/>
  <c r="U331" i="1" s="1"/>
  <c r="V331" i="1" s="1"/>
  <c r="J332" i="1"/>
  <c r="U332" i="1" s="1"/>
  <c r="V332" i="1" s="1"/>
  <c r="J333" i="1"/>
  <c r="U333" i="1" s="1"/>
  <c r="V333" i="1" s="1"/>
  <c r="J334" i="1"/>
  <c r="U334" i="1" s="1"/>
  <c r="V334" i="1" s="1"/>
  <c r="J335" i="1"/>
  <c r="U335" i="1" s="1"/>
  <c r="V335" i="1" s="1"/>
  <c r="J336" i="1"/>
  <c r="U336" i="1" s="1"/>
  <c r="V336" i="1" s="1"/>
  <c r="J361" i="1"/>
  <c r="U361" i="1" s="1"/>
  <c r="V361" i="1" s="1"/>
  <c r="J362" i="1"/>
  <c r="U362" i="1" s="1"/>
  <c r="V362" i="1" s="1"/>
  <c r="J363" i="1"/>
  <c r="U363" i="1" s="1"/>
  <c r="V363" i="1" s="1"/>
  <c r="W363" i="1" s="1"/>
  <c r="X363" i="1" s="1"/>
  <c r="Y363" i="1" s="1"/>
  <c r="J364" i="1"/>
  <c r="U364" i="1" s="1"/>
  <c r="V364" i="1" s="1"/>
  <c r="J365" i="1"/>
  <c r="U365" i="1" s="1"/>
  <c r="V365" i="1" s="1"/>
  <c r="J366" i="1"/>
  <c r="U366" i="1" s="1"/>
  <c r="V366" i="1" s="1"/>
  <c r="J367" i="1"/>
  <c r="U367" i="1" s="1"/>
  <c r="V367" i="1" s="1"/>
  <c r="J368" i="1"/>
  <c r="U368" i="1" s="1"/>
  <c r="V368" i="1" s="1"/>
  <c r="J369" i="1"/>
  <c r="U369" i="1" s="1"/>
  <c r="V369" i="1" s="1"/>
  <c r="J370" i="1"/>
  <c r="U370" i="1" s="1"/>
  <c r="V370" i="1" s="1"/>
  <c r="J371" i="1"/>
  <c r="U371" i="1" s="1"/>
  <c r="V371" i="1" s="1"/>
  <c r="J372" i="1"/>
  <c r="U372" i="1" s="1"/>
  <c r="V372" i="1" s="1"/>
  <c r="J373" i="1"/>
  <c r="U373" i="1" s="1"/>
  <c r="V373" i="1" s="1"/>
  <c r="J374" i="1"/>
  <c r="U374" i="1" s="1"/>
  <c r="V374" i="1" s="1"/>
  <c r="J375" i="1"/>
  <c r="U375" i="1" s="1"/>
  <c r="V375" i="1" s="1"/>
  <c r="J376" i="1"/>
  <c r="U376" i="1" s="1"/>
  <c r="V376" i="1" s="1"/>
  <c r="J377" i="1"/>
  <c r="U377" i="1" s="1"/>
  <c r="V377" i="1" s="1"/>
  <c r="J378" i="1"/>
  <c r="U378" i="1" s="1"/>
  <c r="V378" i="1" s="1"/>
  <c r="J379" i="1"/>
  <c r="U379" i="1" s="1"/>
  <c r="V379" i="1" s="1"/>
  <c r="J380" i="1"/>
  <c r="U380" i="1" s="1"/>
  <c r="V380" i="1" s="1"/>
  <c r="J381" i="1"/>
  <c r="U381" i="1" s="1"/>
  <c r="V381" i="1" s="1"/>
  <c r="J382" i="1"/>
  <c r="U382" i="1" s="1"/>
  <c r="V382" i="1" s="1"/>
  <c r="J383" i="1"/>
  <c r="U383" i="1" s="1"/>
  <c r="V383" i="1" s="1"/>
  <c r="J384" i="1"/>
  <c r="U384" i="1" s="1"/>
  <c r="V384" i="1" s="1"/>
  <c r="J385" i="1"/>
  <c r="U385" i="1" s="1"/>
  <c r="V385" i="1" s="1"/>
  <c r="J386" i="1"/>
  <c r="U386" i="1" s="1"/>
  <c r="V386" i="1" s="1"/>
  <c r="J387" i="1"/>
  <c r="U387" i="1" s="1"/>
  <c r="V387" i="1" s="1"/>
  <c r="J388" i="1"/>
  <c r="U388" i="1" s="1"/>
  <c r="V388" i="1" s="1"/>
  <c r="J389" i="1"/>
  <c r="U389" i="1" s="1"/>
  <c r="V389" i="1" s="1"/>
  <c r="J390" i="1"/>
  <c r="U390" i="1" s="1"/>
  <c r="V390" i="1" s="1"/>
  <c r="J391" i="1"/>
  <c r="U391" i="1" s="1"/>
  <c r="V391" i="1" s="1"/>
  <c r="J392" i="1"/>
  <c r="U392" i="1" s="1"/>
  <c r="V392" i="1" s="1"/>
  <c r="J393" i="1"/>
  <c r="U393" i="1" s="1"/>
  <c r="V393" i="1" s="1"/>
  <c r="J394" i="1"/>
  <c r="U394" i="1" s="1"/>
  <c r="V394" i="1" s="1"/>
  <c r="U395" i="1"/>
  <c r="V395" i="1" s="1"/>
  <c r="J398" i="1"/>
  <c r="U398" i="1" s="1"/>
  <c r="V398" i="1" s="1"/>
  <c r="J400" i="1"/>
  <c r="U400" i="1" s="1"/>
  <c r="V400" i="1" s="1"/>
  <c r="J401" i="1"/>
  <c r="U401" i="1" s="1"/>
  <c r="V401" i="1" s="1"/>
  <c r="J402" i="1"/>
  <c r="U402" i="1" s="1"/>
  <c r="V402" i="1" s="1"/>
  <c r="J403" i="1"/>
  <c r="U403" i="1" s="1"/>
  <c r="V403" i="1" s="1"/>
  <c r="J404" i="1"/>
  <c r="U404" i="1" s="1"/>
  <c r="V404" i="1" s="1"/>
  <c r="J405" i="1"/>
  <c r="U405" i="1" s="1"/>
  <c r="V405" i="1" s="1"/>
  <c r="J406" i="1"/>
  <c r="U406" i="1" s="1"/>
  <c r="V406" i="1" s="1"/>
  <c r="J407" i="1"/>
  <c r="U407" i="1" s="1"/>
  <c r="V407" i="1" s="1"/>
  <c r="U408" i="1"/>
  <c r="V408" i="1" s="1"/>
  <c r="J409" i="1"/>
  <c r="U409" i="1" s="1"/>
  <c r="V409" i="1" s="1"/>
  <c r="J410" i="1"/>
  <c r="U410" i="1" s="1"/>
  <c r="V410" i="1" s="1"/>
  <c r="J411" i="1"/>
  <c r="U411" i="1" s="1"/>
  <c r="V411" i="1" s="1"/>
  <c r="J412" i="1"/>
  <c r="U412" i="1" s="1"/>
  <c r="V412" i="1" s="1"/>
  <c r="J414" i="1"/>
  <c r="U414" i="1" s="1"/>
  <c r="V414" i="1" s="1"/>
  <c r="J415" i="1"/>
  <c r="U415" i="1" s="1"/>
  <c r="V415" i="1" s="1"/>
  <c r="J416" i="1"/>
  <c r="U416" i="1" s="1"/>
  <c r="V416" i="1" s="1"/>
  <c r="J417" i="1"/>
  <c r="U417" i="1" s="1"/>
  <c r="V417" i="1" s="1"/>
  <c r="J420" i="1"/>
  <c r="U420" i="1" s="1"/>
  <c r="V420" i="1" s="1"/>
  <c r="J421" i="1"/>
  <c r="U421" i="1" s="1"/>
  <c r="V421" i="1" s="1"/>
  <c r="J422" i="1"/>
  <c r="U422" i="1" s="1"/>
  <c r="V422" i="1" s="1"/>
  <c r="J430" i="1"/>
  <c r="U430" i="1" s="1"/>
  <c r="V430" i="1" s="1"/>
  <c r="J431" i="1"/>
  <c r="U431" i="1" s="1"/>
  <c r="V431" i="1" s="1"/>
  <c r="J432" i="1"/>
  <c r="U432" i="1" s="1"/>
  <c r="V432" i="1" s="1"/>
  <c r="J433" i="1"/>
  <c r="U433" i="1" s="1"/>
  <c r="V433" i="1" s="1"/>
  <c r="J434" i="1"/>
  <c r="U434" i="1" s="1"/>
  <c r="V434" i="1" s="1"/>
  <c r="J435" i="1"/>
  <c r="U435" i="1" s="1"/>
  <c r="V435" i="1" s="1"/>
  <c r="U436" i="1"/>
  <c r="V436" i="1" s="1"/>
  <c r="J437" i="1"/>
  <c r="U437" i="1" s="1"/>
  <c r="V437" i="1" s="1"/>
  <c r="J438" i="1"/>
  <c r="U438" i="1" s="1"/>
  <c r="V438" i="1" s="1"/>
  <c r="U439" i="1"/>
  <c r="V439" i="1" s="1"/>
  <c r="J440" i="1"/>
  <c r="U440" i="1" s="1"/>
  <c r="V440" i="1" s="1"/>
  <c r="J441" i="1"/>
  <c r="U441" i="1" s="1"/>
  <c r="V441" i="1" s="1"/>
  <c r="J442" i="1"/>
  <c r="U442" i="1" s="1"/>
  <c r="V442" i="1" s="1"/>
  <c r="J443" i="1"/>
  <c r="U443" i="1" s="1"/>
  <c r="V443" i="1" s="1"/>
  <c r="J444" i="1"/>
  <c r="U444" i="1" s="1"/>
  <c r="V444" i="1" s="1"/>
  <c r="J445" i="1"/>
  <c r="U445" i="1" s="1"/>
  <c r="V445" i="1" s="1"/>
  <c r="J446" i="1"/>
  <c r="U446" i="1" s="1"/>
  <c r="V446" i="1" s="1"/>
  <c r="J448" i="1"/>
  <c r="U448" i="1" s="1"/>
  <c r="V448" i="1" s="1"/>
  <c r="J449" i="1"/>
  <c r="U449" i="1" s="1"/>
  <c r="V449" i="1" s="1"/>
  <c r="J450" i="1"/>
  <c r="U450" i="1" s="1"/>
  <c r="V450" i="1" s="1"/>
  <c r="J451" i="1"/>
  <c r="U451" i="1" s="1"/>
  <c r="V451" i="1" s="1"/>
  <c r="J452" i="1"/>
  <c r="U452" i="1" s="1"/>
  <c r="V452" i="1" s="1"/>
  <c r="J453" i="1"/>
  <c r="U453" i="1" s="1"/>
  <c r="V453" i="1" s="1"/>
  <c r="J454" i="1"/>
  <c r="U454" i="1" s="1"/>
  <c r="V454" i="1" s="1"/>
  <c r="J455" i="1"/>
  <c r="J457" i="1"/>
  <c r="U457" i="1" s="1"/>
  <c r="V457" i="1" s="1"/>
  <c r="J458" i="1"/>
  <c r="U458" i="1" s="1"/>
  <c r="V458" i="1" s="1"/>
  <c r="J459" i="1"/>
  <c r="U459" i="1" s="1"/>
  <c r="V459" i="1" s="1"/>
  <c r="J460" i="1"/>
  <c r="U460" i="1" s="1"/>
  <c r="V460" i="1" s="1"/>
  <c r="J461" i="1"/>
  <c r="U461" i="1" s="1"/>
  <c r="V461" i="1" s="1"/>
  <c r="J463" i="1"/>
  <c r="U463" i="1" s="1"/>
  <c r="V463" i="1" s="1"/>
  <c r="J464" i="1"/>
  <c r="U464" i="1" s="1"/>
  <c r="V464" i="1" s="1"/>
  <c r="J465" i="1"/>
  <c r="U465" i="1" s="1"/>
  <c r="V465" i="1" s="1"/>
  <c r="J466" i="1"/>
  <c r="U466" i="1" s="1"/>
  <c r="V466" i="1" s="1"/>
  <c r="J467" i="1"/>
  <c r="U467" i="1" s="1"/>
  <c r="V467" i="1" s="1"/>
  <c r="J468" i="1"/>
  <c r="U468" i="1" s="1"/>
  <c r="V468" i="1" s="1"/>
  <c r="J469" i="1"/>
  <c r="U469" i="1" s="1"/>
  <c r="V469" i="1" s="1"/>
  <c r="J471" i="1"/>
  <c r="U471" i="1" s="1"/>
  <c r="V471" i="1" s="1"/>
  <c r="J472" i="1"/>
  <c r="U472" i="1" s="1"/>
  <c r="V472" i="1" s="1"/>
  <c r="J473" i="1"/>
  <c r="U473" i="1" s="1"/>
  <c r="V473" i="1" s="1"/>
  <c r="J474" i="1"/>
  <c r="U474" i="1" s="1"/>
  <c r="V474" i="1" s="1"/>
  <c r="J475" i="1"/>
  <c r="U475" i="1" s="1"/>
  <c r="V475" i="1" s="1"/>
  <c r="J476" i="1"/>
  <c r="U476" i="1" s="1"/>
  <c r="V476" i="1" s="1"/>
  <c r="J477" i="1"/>
  <c r="U477" i="1" s="1"/>
  <c r="V477" i="1" s="1"/>
  <c r="J478" i="1"/>
  <c r="U478" i="1" s="1"/>
  <c r="V478" i="1" s="1"/>
  <c r="J479" i="1"/>
  <c r="U479" i="1" s="1"/>
  <c r="V479" i="1" s="1"/>
  <c r="J480" i="1"/>
  <c r="U480" i="1" s="1"/>
  <c r="V480" i="1" s="1"/>
  <c r="J481" i="1"/>
  <c r="U481" i="1" s="1"/>
  <c r="V481" i="1" s="1"/>
  <c r="J482" i="1"/>
  <c r="U482" i="1" s="1"/>
  <c r="V482" i="1" s="1"/>
  <c r="J483" i="1"/>
  <c r="U483" i="1" s="1"/>
  <c r="V483" i="1" s="1"/>
  <c r="J484" i="1"/>
  <c r="U484" i="1" s="1"/>
  <c r="V484" i="1" s="1"/>
  <c r="J485" i="1"/>
  <c r="U485" i="1" s="1"/>
  <c r="V485" i="1" s="1"/>
  <c r="J486" i="1"/>
  <c r="U486" i="1" s="1"/>
  <c r="V486" i="1" s="1"/>
  <c r="J487" i="1"/>
  <c r="U487" i="1" s="1"/>
  <c r="V487" i="1" s="1"/>
  <c r="J488" i="1"/>
  <c r="U488" i="1" s="1"/>
  <c r="V488" i="1" s="1"/>
  <c r="J489" i="1"/>
  <c r="U489" i="1" s="1"/>
  <c r="V489" i="1" s="1"/>
  <c r="J490" i="1"/>
  <c r="U490" i="1" s="1"/>
  <c r="V490" i="1" s="1"/>
  <c r="J491" i="1"/>
  <c r="U491" i="1" s="1"/>
  <c r="V491" i="1" s="1"/>
  <c r="J492" i="1"/>
  <c r="U492" i="1" s="1"/>
  <c r="V492" i="1" s="1"/>
  <c r="J493" i="1"/>
  <c r="U493" i="1" s="1"/>
  <c r="V493" i="1" s="1"/>
  <c r="J494" i="1"/>
  <c r="U494" i="1" s="1"/>
  <c r="V494" i="1" s="1"/>
  <c r="J495" i="1"/>
  <c r="U495" i="1" s="1"/>
  <c r="V495" i="1" s="1"/>
  <c r="J496" i="1"/>
  <c r="U496" i="1" s="1"/>
  <c r="V496" i="1" s="1"/>
  <c r="J497" i="1"/>
  <c r="U497" i="1" s="1"/>
  <c r="V497" i="1" s="1"/>
  <c r="J498" i="1"/>
  <c r="U498" i="1" s="1"/>
  <c r="V498" i="1" s="1"/>
  <c r="J500" i="1"/>
  <c r="U500" i="1" s="1"/>
  <c r="V500" i="1" s="1"/>
  <c r="J501" i="1"/>
  <c r="U501" i="1" s="1"/>
  <c r="V501" i="1" s="1"/>
  <c r="J502" i="1"/>
  <c r="U502" i="1" s="1"/>
  <c r="V502" i="1" s="1"/>
  <c r="J503" i="1"/>
  <c r="U503" i="1" s="1"/>
  <c r="V503" i="1" s="1"/>
  <c r="J505" i="1"/>
  <c r="U505" i="1" s="1"/>
  <c r="V505" i="1" s="1"/>
  <c r="J506" i="1"/>
  <c r="U506" i="1" s="1"/>
  <c r="V506" i="1" s="1"/>
  <c r="J507" i="1"/>
  <c r="U507" i="1" s="1"/>
  <c r="V507" i="1" s="1"/>
  <c r="J508" i="1"/>
  <c r="U508" i="1" s="1"/>
  <c r="V508" i="1" s="1"/>
  <c r="J509" i="1"/>
  <c r="U509" i="1" s="1"/>
  <c r="V509" i="1" s="1"/>
  <c r="J510" i="1"/>
  <c r="U510" i="1" s="1"/>
  <c r="V510" i="1" s="1"/>
  <c r="J511" i="1"/>
  <c r="U511" i="1" s="1"/>
  <c r="V511" i="1" s="1"/>
  <c r="J512" i="1"/>
  <c r="U512" i="1" s="1"/>
  <c r="V512" i="1" s="1"/>
  <c r="J513" i="1"/>
  <c r="U513" i="1" s="1"/>
  <c r="V513" i="1" s="1"/>
  <c r="J514" i="1"/>
  <c r="U514" i="1" s="1"/>
  <c r="V514" i="1" s="1"/>
  <c r="J515" i="1"/>
  <c r="U515" i="1" s="1"/>
  <c r="V515" i="1" s="1"/>
  <c r="J516" i="1"/>
  <c r="U516" i="1" s="1"/>
  <c r="V516" i="1" s="1"/>
  <c r="J517" i="1"/>
  <c r="U517" i="1" s="1"/>
  <c r="V517" i="1" s="1"/>
  <c r="J518" i="1"/>
  <c r="U518" i="1" s="1"/>
  <c r="V518" i="1" s="1"/>
  <c r="J519" i="1"/>
  <c r="U519" i="1" s="1"/>
  <c r="V519" i="1" s="1"/>
  <c r="J520" i="1"/>
  <c r="U520" i="1" s="1"/>
  <c r="V520" i="1" s="1"/>
  <c r="J521" i="1"/>
  <c r="U521" i="1" s="1"/>
  <c r="V521" i="1" s="1"/>
  <c r="J522" i="1"/>
  <c r="U522" i="1" s="1"/>
  <c r="V522" i="1" s="1"/>
  <c r="J523" i="1"/>
  <c r="U523" i="1" s="1"/>
  <c r="V523" i="1" s="1"/>
  <c r="J524" i="1"/>
  <c r="U524" i="1" s="1"/>
  <c r="V524" i="1" s="1"/>
  <c r="J525" i="1"/>
  <c r="U525" i="1" s="1"/>
  <c r="V525" i="1" s="1"/>
  <c r="J526" i="1"/>
  <c r="U526" i="1" s="1"/>
  <c r="V526" i="1" s="1"/>
  <c r="J527" i="1"/>
  <c r="U527" i="1" s="1"/>
  <c r="V527" i="1" s="1"/>
  <c r="J528" i="1"/>
  <c r="U528" i="1" s="1"/>
  <c r="V528" i="1" s="1"/>
  <c r="J529" i="1"/>
  <c r="U529" i="1" s="1"/>
  <c r="V529" i="1" s="1"/>
  <c r="J530" i="1"/>
  <c r="U530" i="1" s="1"/>
  <c r="V530" i="1" s="1"/>
  <c r="J531" i="1"/>
  <c r="U531" i="1" s="1"/>
  <c r="V531" i="1" s="1"/>
  <c r="J532" i="1"/>
  <c r="U532" i="1" s="1"/>
  <c r="V532" i="1" s="1"/>
  <c r="J533" i="1"/>
  <c r="U533" i="1" s="1"/>
  <c r="V533" i="1" s="1"/>
  <c r="J534" i="1"/>
  <c r="U534" i="1" s="1"/>
  <c r="V534" i="1" s="1"/>
  <c r="J535" i="1"/>
  <c r="U535" i="1" s="1"/>
  <c r="V535" i="1" s="1"/>
  <c r="J536" i="1"/>
  <c r="U536" i="1" s="1"/>
  <c r="V536" i="1" s="1"/>
  <c r="J537" i="1"/>
  <c r="U537" i="1" s="1"/>
  <c r="V537" i="1" s="1"/>
  <c r="J538" i="1"/>
  <c r="U538" i="1" s="1"/>
  <c r="V538" i="1" s="1"/>
  <c r="J539" i="1"/>
  <c r="U539" i="1" s="1"/>
  <c r="V539" i="1" s="1"/>
  <c r="J540" i="1"/>
  <c r="U540" i="1" s="1"/>
  <c r="V540" i="1" s="1"/>
  <c r="J541" i="1"/>
  <c r="U541" i="1" s="1"/>
  <c r="V541" i="1" s="1"/>
  <c r="J542" i="1"/>
  <c r="U542" i="1" s="1"/>
  <c r="V542" i="1" s="1"/>
  <c r="J543" i="1"/>
  <c r="U543" i="1" s="1"/>
  <c r="V543" i="1" s="1"/>
  <c r="J544" i="1"/>
  <c r="U544" i="1" s="1"/>
  <c r="V544" i="1" s="1"/>
  <c r="J545" i="1"/>
  <c r="U545" i="1" s="1"/>
  <c r="V545" i="1" s="1"/>
  <c r="J546" i="1"/>
  <c r="U546" i="1" s="1"/>
  <c r="V546" i="1" s="1"/>
  <c r="J547" i="1"/>
  <c r="U547" i="1" s="1"/>
  <c r="V547" i="1" s="1"/>
  <c r="J548" i="1"/>
  <c r="U548" i="1" s="1"/>
  <c r="V548" i="1" s="1"/>
  <c r="J549" i="1"/>
  <c r="U549" i="1" s="1"/>
  <c r="V549" i="1" s="1"/>
  <c r="J550" i="1"/>
  <c r="U550" i="1" s="1"/>
  <c r="V550" i="1" s="1"/>
  <c r="J551" i="1"/>
  <c r="U551" i="1" s="1"/>
  <c r="V551" i="1" s="1"/>
  <c r="J552" i="1"/>
  <c r="U552" i="1" s="1"/>
  <c r="V552" i="1" s="1"/>
  <c r="J553" i="1"/>
  <c r="U553" i="1" s="1"/>
  <c r="V553" i="1" s="1"/>
  <c r="J554" i="1"/>
  <c r="U554" i="1" s="1"/>
  <c r="V554" i="1" s="1"/>
  <c r="J555" i="1"/>
  <c r="U555" i="1" s="1"/>
  <c r="V555" i="1" s="1"/>
  <c r="J556" i="1"/>
  <c r="U556" i="1" s="1"/>
  <c r="V556" i="1" s="1"/>
  <c r="J557" i="1"/>
  <c r="U557" i="1" s="1"/>
  <c r="V557" i="1" s="1"/>
  <c r="J558" i="1"/>
  <c r="U558" i="1" s="1"/>
  <c r="V558" i="1" s="1"/>
  <c r="J559" i="1"/>
  <c r="U559" i="1" s="1"/>
  <c r="V559" i="1" s="1"/>
  <c r="J560" i="1"/>
  <c r="U560" i="1" s="1"/>
  <c r="V560" i="1" s="1"/>
  <c r="J561" i="1"/>
  <c r="U561" i="1" s="1"/>
  <c r="V561" i="1" s="1"/>
  <c r="J562" i="1"/>
  <c r="U562" i="1" s="1"/>
  <c r="V562" i="1" s="1"/>
  <c r="J563" i="1"/>
  <c r="U563" i="1" s="1"/>
  <c r="V563" i="1" s="1"/>
  <c r="J564" i="1"/>
  <c r="U564" i="1" s="1"/>
  <c r="V564" i="1" s="1"/>
  <c r="J565" i="1"/>
  <c r="U565" i="1" s="1"/>
  <c r="V565" i="1" s="1"/>
  <c r="J566" i="1"/>
  <c r="U566" i="1" s="1"/>
  <c r="V566" i="1" s="1"/>
  <c r="J567" i="1"/>
  <c r="U567" i="1" s="1"/>
  <c r="V567" i="1" s="1"/>
  <c r="J568" i="1"/>
  <c r="U568" i="1" s="1"/>
  <c r="V568" i="1" s="1"/>
  <c r="J569" i="1"/>
  <c r="U569" i="1" s="1"/>
  <c r="V569" i="1" s="1"/>
  <c r="J570" i="1"/>
  <c r="U570" i="1" s="1"/>
  <c r="V570" i="1" s="1"/>
  <c r="J571" i="1"/>
  <c r="U571" i="1" s="1"/>
  <c r="V571" i="1" s="1"/>
  <c r="J572" i="1"/>
  <c r="U572" i="1" s="1"/>
  <c r="V572" i="1" s="1"/>
  <c r="J573" i="1"/>
  <c r="U573" i="1" s="1"/>
  <c r="V573" i="1" s="1"/>
  <c r="J574" i="1"/>
  <c r="J576" i="1"/>
  <c r="U576" i="1" s="1"/>
  <c r="V576" i="1" s="1"/>
  <c r="J577" i="1"/>
  <c r="U577" i="1" s="1"/>
  <c r="V577" i="1" s="1"/>
  <c r="J578" i="1"/>
  <c r="U578" i="1" s="1"/>
  <c r="V578" i="1" s="1"/>
  <c r="J579" i="1"/>
  <c r="U579" i="1" s="1"/>
  <c r="V579" i="1" s="1"/>
  <c r="J580" i="1"/>
  <c r="U580" i="1" s="1"/>
  <c r="V580" i="1" s="1"/>
  <c r="J581" i="1"/>
  <c r="U581" i="1" s="1"/>
  <c r="V581" i="1" s="1"/>
  <c r="J582" i="1"/>
  <c r="U582" i="1" s="1"/>
  <c r="V582" i="1" s="1"/>
  <c r="J583" i="1"/>
  <c r="U583" i="1" s="1"/>
  <c r="V583" i="1" s="1"/>
  <c r="J584" i="1"/>
  <c r="U584" i="1" s="1"/>
  <c r="V584" i="1" s="1"/>
  <c r="J585" i="1"/>
  <c r="U585" i="1" s="1"/>
  <c r="V585" i="1" s="1"/>
  <c r="J586" i="1"/>
  <c r="U586" i="1" s="1"/>
  <c r="V586" i="1" s="1"/>
  <c r="J587" i="1"/>
  <c r="U587" i="1" s="1"/>
  <c r="V587" i="1" s="1"/>
  <c r="J588" i="1"/>
  <c r="U588" i="1" s="1"/>
  <c r="V588" i="1" s="1"/>
  <c r="J589" i="1"/>
  <c r="U589" i="1" s="1"/>
  <c r="V589" i="1" s="1"/>
  <c r="J590" i="1"/>
  <c r="U590" i="1" s="1"/>
  <c r="V590" i="1" s="1"/>
  <c r="J591" i="1"/>
  <c r="U591" i="1" s="1"/>
  <c r="V591" i="1" s="1"/>
  <c r="J592" i="1"/>
  <c r="U592" i="1" s="1"/>
  <c r="V592" i="1" s="1"/>
  <c r="J593" i="1"/>
  <c r="U593" i="1" s="1"/>
  <c r="V593" i="1" s="1"/>
  <c r="J594" i="1"/>
  <c r="U594" i="1" s="1"/>
  <c r="V594" i="1" s="1"/>
  <c r="J595" i="1"/>
  <c r="U595" i="1" s="1"/>
  <c r="V595" i="1" s="1"/>
  <c r="J596" i="1"/>
  <c r="U596" i="1" s="1"/>
  <c r="V596" i="1" s="1"/>
  <c r="J597" i="1"/>
  <c r="U597" i="1" s="1"/>
  <c r="V597" i="1" s="1"/>
  <c r="J598" i="1"/>
  <c r="U598" i="1" s="1"/>
  <c r="V598" i="1" s="1"/>
  <c r="J599" i="1"/>
  <c r="U599" i="1" s="1"/>
  <c r="V599" i="1" s="1"/>
  <c r="J600" i="1"/>
  <c r="U600" i="1" s="1"/>
  <c r="V600" i="1" s="1"/>
  <c r="J601" i="1"/>
  <c r="U601" i="1" s="1"/>
  <c r="V601" i="1" s="1"/>
  <c r="J602" i="1"/>
  <c r="U602" i="1" s="1"/>
  <c r="V602" i="1" s="1"/>
  <c r="J603" i="1"/>
  <c r="U603" i="1" s="1"/>
  <c r="V603" i="1" s="1"/>
  <c r="J604" i="1"/>
  <c r="U604" i="1" s="1"/>
  <c r="V604" i="1" s="1"/>
  <c r="J605" i="1"/>
  <c r="U605" i="1" s="1"/>
  <c r="V605" i="1" s="1"/>
  <c r="J606" i="1"/>
  <c r="U606" i="1" s="1"/>
  <c r="V606" i="1" s="1"/>
  <c r="J607" i="1"/>
  <c r="U607" i="1" s="1"/>
  <c r="V607" i="1" s="1"/>
  <c r="J608" i="1"/>
  <c r="U608" i="1" s="1"/>
  <c r="V608" i="1" s="1"/>
  <c r="J609" i="1"/>
  <c r="U609" i="1" s="1"/>
  <c r="V609" i="1" s="1"/>
  <c r="J610" i="1"/>
  <c r="J615" i="1"/>
  <c r="U615" i="1" s="1"/>
  <c r="V615" i="1" s="1"/>
  <c r="J616" i="1"/>
  <c r="U616" i="1" s="1"/>
  <c r="V616" i="1" s="1"/>
  <c r="J617" i="1"/>
  <c r="U617" i="1" s="1"/>
  <c r="V617" i="1" s="1"/>
  <c r="J618" i="1"/>
  <c r="U618" i="1" s="1"/>
  <c r="V618" i="1" s="1"/>
  <c r="J619" i="1"/>
  <c r="U619" i="1" s="1"/>
  <c r="V619" i="1" s="1"/>
  <c r="J620" i="1"/>
  <c r="U620" i="1" s="1"/>
  <c r="V620" i="1" s="1"/>
  <c r="J621" i="1"/>
  <c r="U621" i="1" s="1"/>
  <c r="V621" i="1" s="1"/>
  <c r="J622" i="1"/>
  <c r="U622" i="1" s="1"/>
  <c r="V622" i="1" s="1"/>
  <c r="J623" i="1"/>
  <c r="U623" i="1" s="1"/>
  <c r="V623" i="1" s="1"/>
  <c r="J624" i="1"/>
  <c r="U624" i="1" s="1"/>
  <c r="V624" i="1" s="1"/>
  <c r="J625" i="1"/>
  <c r="U625" i="1" s="1"/>
  <c r="V625" i="1" s="1"/>
  <c r="J626" i="1"/>
  <c r="U626" i="1" s="1"/>
  <c r="V626" i="1" s="1"/>
  <c r="J627" i="1"/>
  <c r="U627" i="1" s="1"/>
  <c r="V627" i="1" s="1"/>
  <c r="J628" i="1"/>
  <c r="U628" i="1" s="1"/>
  <c r="V628" i="1" s="1"/>
  <c r="J629" i="1"/>
  <c r="U629" i="1" s="1"/>
  <c r="V629" i="1" s="1"/>
  <c r="J630" i="1"/>
  <c r="U630" i="1" s="1"/>
  <c r="V630" i="1" s="1"/>
  <c r="J631" i="1"/>
  <c r="U631" i="1" s="1"/>
  <c r="V631" i="1" s="1"/>
  <c r="J632" i="1"/>
  <c r="U632" i="1" s="1"/>
  <c r="V632" i="1" s="1"/>
  <c r="J633" i="1"/>
  <c r="U633" i="1" s="1"/>
  <c r="V633" i="1" s="1"/>
  <c r="J634" i="1"/>
  <c r="U634" i="1" s="1"/>
  <c r="V634" i="1" s="1"/>
  <c r="J635" i="1"/>
  <c r="U635" i="1" s="1"/>
  <c r="V635" i="1" s="1"/>
  <c r="J636" i="1"/>
  <c r="U636" i="1" s="1"/>
  <c r="V636" i="1" s="1"/>
  <c r="J637" i="1"/>
  <c r="U637" i="1" s="1"/>
  <c r="V637" i="1" s="1"/>
  <c r="J638" i="1"/>
  <c r="U638" i="1" s="1"/>
  <c r="V638" i="1" s="1"/>
  <c r="J639" i="1"/>
  <c r="U639" i="1" s="1"/>
  <c r="V639" i="1" s="1"/>
  <c r="J640" i="1"/>
  <c r="U640" i="1" s="1"/>
  <c r="V640" i="1" s="1"/>
  <c r="J641" i="1"/>
  <c r="U641" i="1" s="1"/>
  <c r="V641" i="1" s="1"/>
  <c r="J642" i="1"/>
  <c r="U642" i="1" s="1"/>
  <c r="V642" i="1" s="1"/>
  <c r="U643" i="1"/>
  <c r="V643" i="1" s="1"/>
  <c r="J644" i="1"/>
  <c r="U644" i="1" s="1"/>
  <c r="V644" i="1" s="1"/>
  <c r="U645" i="1"/>
  <c r="V645" i="1" s="1"/>
  <c r="U646" i="1"/>
  <c r="V646" i="1" s="1"/>
  <c r="J647" i="1"/>
  <c r="U647" i="1" s="1"/>
  <c r="V647" i="1" s="1"/>
  <c r="J648" i="1"/>
  <c r="U648" i="1" s="1"/>
  <c r="V648" i="1" s="1"/>
  <c r="U649" i="1"/>
  <c r="V649" i="1" s="1"/>
  <c r="J650" i="1"/>
  <c r="U650" i="1" s="1"/>
  <c r="V650" i="1" s="1"/>
  <c r="J651" i="1"/>
  <c r="U651" i="1" s="1"/>
  <c r="V651" i="1" s="1"/>
  <c r="J652" i="1"/>
  <c r="U652" i="1" s="1"/>
  <c r="V652" i="1" s="1"/>
  <c r="J653" i="1"/>
  <c r="U653" i="1" s="1"/>
  <c r="V653" i="1" s="1"/>
  <c r="J654" i="1"/>
  <c r="U654" i="1" s="1"/>
  <c r="V654" i="1" s="1"/>
  <c r="J655" i="1"/>
  <c r="U655" i="1" s="1"/>
  <c r="V655" i="1" s="1"/>
  <c r="J656" i="1"/>
  <c r="U656" i="1" s="1"/>
  <c r="V656" i="1" s="1"/>
  <c r="J657" i="1"/>
  <c r="U657" i="1" s="1"/>
  <c r="V657" i="1" s="1"/>
  <c r="J658" i="1"/>
  <c r="U658" i="1" s="1"/>
  <c r="V658" i="1" s="1"/>
  <c r="J659" i="1"/>
  <c r="U659" i="1" s="1"/>
  <c r="V659" i="1" s="1"/>
  <c r="J660" i="1"/>
  <c r="U660" i="1" s="1"/>
  <c r="V660" i="1" s="1"/>
  <c r="J661" i="1"/>
  <c r="U661" i="1" s="1"/>
  <c r="V661" i="1" s="1"/>
  <c r="J662" i="1"/>
  <c r="U662" i="1" s="1"/>
  <c r="V662" i="1" s="1"/>
  <c r="J664" i="1"/>
  <c r="J666" i="1"/>
  <c r="U666" i="1" s="1"/>
  <c r="V666" i="1" s="1"/>
  <c r="J667" i="1"/>
  <c r="U667" i="1" s="1"/>
  <c r="V667" i="1" s="1"/>
  <c r="J668" i="1"/>
  <c r="U668" i="1" s="1"/>
  <c r="V668" i="1" s="1"/>
  <c r="J669" i="1"/>
  <c r="U669" i="1" s="1"/>
  <c r="V669" i="1" s="1"/>
  <c r="J670" i="1"/>
  <c r="U670" i="1" s="1"/>
  <c r="V670" i="1" s="1"/>
  <c r="J671" i="1"/>
  <c r="U671" i="1" s="1"/>
  <c r="V671" i="1" s="1"/>
  <c r="J672" i="1"/>
  <c r="U672" i="1" s="1"/>
  <c r="V672" i="1" s="1"/>
  <c r="J673" i="1"/>
  <c r="U673" i="1" s="1"/>
  <c r="V673" i="1" s="1"/>
  <c r="J674" i="1"/>
  <c r="U674" i="1" s="1"/>
  <c r="V674" i="1" s="1"/>
  <c r="J675" i="1"/>
  <c r="U675" i="1" s="1"/>
  <c r="V675" i="1" s="1"/>
  <c r="J676" i="1"/>
  <c r="U676" i="1" s="1"/>
  <c r="V676" i="1" s="1"/>
  <c r="J677" i="1"/>
  <c r="U677" i="1" s="1"/>
  <c r="V677" i="1" s="1"/>
  <c r="J678" i="1"/>
  <c r="U678" i="1" s="1"/>
  <c r="V678" i="1" s="1"/>
  <c r="J679" i="1"/>
  <c r="U679" i="1" s="1"/>
  <c r="V679" i="1" s="1"/>
  <c r="U680" i="1"/>
  <c r="V680" i="1" s="1"/>
  <c r="J681" i="1"/>
  <c r="U681" i="1" s="1"/>
  <c r="V681" i="1" s="1"/>
  <c r="J682" i="1"/>
  <c r="U682" i="1" s="1"/>
  <c r="V682" i="1" s="1"/>
  <c r="J683" i="1"/>
  <c r="U683" i="1" s="1"/>
  <c r="V683" i="1" s="1"/>
  <c r="J684" i="1"/>
  <c r="U684" i="1" s="1"/>
  <c r="V684" i="1" s="1"/>
  <c r="J685" i="1"/>
  <c r="U685" i="1" s="1"/>
  <c r="V685" i="1" s="1"/>
  <c r="J686" i="1"/>
  <c r="U686" i="1" s="1"/>
  <c r="V686" i="1" s="1"/>
  <c r="J687" i="1"/>
  <c r="U687" i="1" s="1"/>
  <c r="V687" i="1" s="1"/>
  <c r="J688" i="1"/>
  <c r="U688" i="1" s="1"/>
  <c r="V688" i="1" s="1"/>
  <c r="J689" i="1"/>
  <c r="U689" i="1" s="1"/>
  <c r="V689" i="1" s="1"/>
  <c r="J690" i="1"/>
  <c r="U690" i="1" s="1"/>
  <c r="V690" i="1" s="1"/>
  <c r="J691" i="1"/>
  <c r="U691" i="1" s="1"/>
  <c r="V691" i="1" s="1"/>
  <c r="J692" i="1"/>
  <c r="U692" i="1" s="1"/>
  <c r="V692" i="1" s="1"/>
  <c r="J693" i="1"/>
  <c r="U693" i="1" s="1"/>
  <c r="V693" i="1" s="1"/>
  <c r="J694" i="1"/>
  <c r="U694" i="1" s="1"/>
  <c r="V694" i="1" s="1"/>
  <c r="J695" i="1"/>
  <c r="U695" i="1" s="1"/>
  <c r="V695" i="1" s="1"/>
  <c r="J696" i="1"/>
  <c r="U696" i="1" s="1"/>
  <c r="V696" i="1" s="1"/>
  <c r="J697" i="1"/>
  <c r="U697" i="1" s="1"/>
  <c r="V697" i="1" s="1"/>
  <c r="J698" i="1"/>
  <c r="U698" i="1" s="1"/>
  <c r="V698" i="1" s="1"/>
  <c r="J699" i="1"/>
  <c r="U699" i="1" s="1"/>
  <c r="V699" i="1" s="1"/>
  <c r="J700" i="1"/>
  <c r="U700" i="1" s="1"/>
  <c r="V700" i="1" s="1"/>
  <c r="J701" i="1"/>
  <c r="U701" i="1" s="1"/>
  <c r="V701" i="1" s="1"/>
  <c r="J702" i="1"/>
  <c r="U702" i="1" s="1"/>
  <c r="V702" i="1" s="1"/>
  <c r="J703" i="1"/>
  <c r="U703" i="1" s="1"/>
  <c r="V703" i="1" s="1"/>
  <c r="J704" i="1"/>
  <c r="U704" i="1" s="1"/>
  <c r="V704" i="1" s="1"/>
  <c r="J705" i="1"/>
  <c r="U705" i="1" s="1"/>
  <c r="V705" i="1" s="1"/>
  <c r="J706" i="1"/>
  <c r="U706" i="1" s="1"/>
  <c r="V706" i="1" s="1"/>
  <c r="J707" i="1"/>
  <c r="U707" i="1" s="1"/>
  <c r="V707" i="1" s="1"/>
  <c r="J709" i="1"/>
  <c r="U709" i="1" s="1"/>
  <c r="V709" i="1" s="1"/>
  <c r="J710" i="1"/>
  <c r="U710" i="1" s="1"/>
  <c r="V710" i="1" s="1"/>
  <c r="J711" i="1"/>
  <c r="U711" i="1" s="1"/>
  <c r="V711" i="1" s="1"/>
  <c r="J712" i="1"/>
  <c r="U712" i="1" s="1"/>
  <c r="V712" i="1" s="1"/>
  <c r="J713" i="1"/>
  <c r="U713" i="1" s="1"/>
  <c r="V713" i="1" s="1"/>
  <c r="J714" i="1"/>
  <c r="U714" i="1" s="1"/>
  <c r="V714" i="1" s="1"/>
  <c r="J716" i="1"/>
  <c r="U716" i="1" s="1"/>
  <c r="V716" i="1" s="1"/>
  <c r="J717" i="1"/>
  <c r="U717" i="1" s="1"/>
  <c r="V717" i="1" s="1"/>
  <c r="J718" i="1"/>
  <c r="U718" i="1" s="1"/>
  <c r="V718" i="1" s="1"/>
  <c r="J719" i="1"/>
  <c r="U719" i="1" s="1"/>
  <c r="V719" i="1" s="1"/>
  <c r="J720" i="1"/>
  <c r="U720" i="1" s="1"/>
  <c r="V720" i="1" s="1"/>
  <c r="J721" i="1"/>
  <c r="U721" i="1" s="1"/>
  <c r="V721" i="1" s="1"/>
  <c r="J722" i="1"/>
  <c r="U722" i="1" s="1"/>
  <c r="V722" i="1" s="1"/>
  <c r="J723" i="1"/>
  <c r="U723" i="1" s="1"/>
  <c r="V723" i="1" s="1"/>
  <c r="J724" i="1"/>
  <c r="U724" i="1" s="1"/>
  <c r="V724" i="1" s="1"/>
  <c r="J725" i="1"/>
  <c r="U725" i="1" s="1"/>
  <c r="V725" i="1" s="1"/>
  <c r="J726" i="1"/>
  <c r="U726" i="1" s="1"/>
  <c r="V726" i="1" s="1"/>
  <c r="J727" i="1"/>
  <c r="U727" i="1" s="1"/>
  <c r="V727" i="1" s="1"/>
  <c r="J728" i="1"/>
  <c r="U728" i="1" s="1"/>
  <c r="V728" i="1" s="1"/>
  <c r="J729" i="1"/>
  <c r="U729" i="1" s="1"/>
  <c r="V729" i="1" s="1"/>
  <c r="J730" i="1"/>
  <c r="U730" i="1" s="1"/>
  <c r="V730" i="1" s="1"/>
  <c r="J731" i="1"/>
  <c r="U731" i="1" s="1"/>
  <c r="V731" i="1" s="1"/>
  <c r="J732" i="1"/>
  <c r="U732" i="1" s="1"/>
  <c r="V732" i="1" s="1"/>
  <c r="J733" i="1"/>
  <c r="U733" i="1" s="1"/>
  <c r="V733" i="1" s="1"/>
  <c r="J734" i="1"/>
  <c r="U734" i="1" s="1"/>
  <c r="V734" i="1" s="1"/>
  <c r="J735" i="1"/>
  <c r="U735" i="1" s="1"/>
  <c r="V735" i="1" s="1"/>
  <c r="J736" i="1"/>
  <c r="U736" i="1" s="1"/>
  <c r="V736" i="1" s="1"/>
  <c r="J737" i="1"/>
  <c r="U737" i="1" s="1"/>
  <c r="V737" i="1" s="1"/>
  <c r="J738" i="1"/>
  <c r="U738" i="1" s="1"/>
  <c r="V738" i="1" s="1"/>
  <c r="J739" i="1"/>
  <c r="U739" i="1" s="1"/>
  <c r="V739" i="1" s="1"/>
  <c r="J740" i="1"/>
  <c r="U740" i="1" s="1"/>
  <c r="V740" i="1" s="1"/>
  <c r="J741" i="1"/>
  <c r="U741" i="1" s="1"/>
  <c r="V741" i="1" s="1"/>
  <c r="J742" i="1"/>
  <c r="U742" i="1" s="1"/>
  <c r="V742" i="1" s="1"/>
  <c r="J743" i="1"/>
  <c r="U743" i="1" s="1"/>
  <c r="V743" i="1" s="1"/>
  <c r="J744" i="1"/>
  <c r="U744" i="1" s="1"/>
  <c r="V744" i="1" s="1"/>
  <c r="J745" i="1"/>
  <c r="U745" i="1" s="1"/>
  <c r="V745" i="1" s="1"/>
  <c r="J746" i="1"/>
  <c r="U746" i="1" s="1"/>
  <c r="V746" i="1" s="1"/>
  <c r="J747" i="1"/>
  <c r="U747" i="1" s="1"/>
  <c r="V747" i="1" s="1"/>
  <c r="J748" i="1"/>
  <c r="U748" i="1" s="1"/>
  <c r="V748" i="1" s="1"/>
  <c r="J749" i="1"/>
  <c r="U749" i="1" s="1"/>
  <c r="V749" i="1" s="1"/>
  <c r="J750" i="1"/>
  <c r="U750" i="1" s="1"/>
  <c r="V750" i="1" s="1"/>
  <c r="J751" i="1"/>
  <c r="U751" i="1" s="1"/>
  <c r="V751" i="1" s="1"/>
  <c r="U752" i="1"/>
  <c r="V752" i="1" s="1"/>
  <c r="J753" i="1"/>
  <c r="U753" i="1" s="1"/>
  <c r="V753" i="1" s="1"/>
  <c r="J755" i="1"/>
  <c r="U755" i="1" s="1"/>
  <c r="V755" i="1" s="1"/>
  <c r="J756" i="1"/>
  <c r="U756" i="1" s="1"/>
  <c r="V756" i="1" s="1"/>
  <c r="J757" i="1"/>
  <c r="U757" i="1" s="1"/>
  <c r="V757" i="1" s="1"/>
  <c r="J758" i="1"/>
  <c r="U758" i="1" s="1"/>
  <c r="V758" i="1" s="1"/>
  <c r="J759" i="1"/>
  <c r="U759" i="1" s="1"/>
  <c r="V759" i="1" s="1"/>
  <c r="J760" i="1"/>
  <c r="U760" i="1" s="1"/>
  <c r="V760" i="1" s="1"/>
  <c r="J761" i="1"/>
  <c r="U761" i="1" s="1"/>
  <c r="V761" i="1" s="1"/>
  <c r="J762" i="1"/>
  <c r="U762" i="1" s="1"/>
  <c r="V762" i="1" s="1"/>
  <c r="J763" i="1"/>
  <c r="U763" i="1" s="1"/>
  <c r="V763" i="1" s="1"/>
  <c r="J765" i="1"/>
  <c r="U765" i="1" s="1"/>
  <c r="V765" i="1" s="1"/>
  <c r="J766" i="1"/>
  <c r="U766" i="1" s="1"/>
  <c r="V766" i="1" s="1"/>
  <c r="J767" i="1"/>
  <c r="U767" i="1" s="1"/>
  <c r="V767" i="1" s="1"/>
  <c r="J768" i="1"/>
  <c r="U768" i="1" s="1"/>
  <c r="V768" i="1" s="1"/>
  <c r="J770" i="1"/>
  <c r="U770" i="1" s="1"/>
  <c r="V770" i="1" s="1"/>
  <c r="J771" i="1"/>
  <c r="U771" i="1" s="1"/>
  <c r="V771" i="1" s="1"/>
  <c r="J772" i="1"/>
  <c r="U772" i="1" s="1"/>
  <c r="V772" i="1" s="1"/>
  <c r="J773" i="1"/>
  <c r="U773" i="1" s="1"/>
  <c r="V773" i="1" s="1"/>
  <c r="J774" i="1"/>
  <c r="U774" i="1" s="1"/>
  <c r="V774" i="1" s="1"/>
  <c r="J775" i="1"/>
  <c r="U775" i="1" s="1"/>
  <c r="V775" i="1" s="1"/>
  <c r="J776" i="1"/>
  <c r="U776" i="1" s="1"/>
  <c r="V776" i="1" s="1"/>
  <c r="J777" i="1"/>
  <c r="U777" i="1" s="1"/>
  <c r="V777" i="1" s="1"/>
  <c r="J778" i="1"/>
  <c r="J780" i="1"/>
  <c r="U780" i="1" s="1"/>
  <c r="V780" i="1" s="1"/>
  <c r="J781" i="1"/>
  <c r="U781" i="1" s="1"/>
  <c r="V781" i="1" s="1"/>
  <c r="J782" i="1"/>
  <c r="U782" i="1" s="1"/>
  <c r="V782" i="1" s="1"/>
  <c r="J783" i="1"/>
  <c r="U783" i="1" s="1"/>
  <c r="V783" i="1" s="1"/>
  <c r="J784" i="1"/>
  <c r="U784" i="1" s="1"/>
  <c r="V784" i="1" s="1"/>
  <c r="J785" i="1"/>
  <c r="U785" i="1" s="1"/>
  <c r="V785" i="1" s="1"/>
  <c r="J786" i="1"/>
  <c r="U786" i="1" s="1"/>
  <c r="V786" i="1" s="1"/>
  <c r="J787" i="1"/>
  <c r="U787" i="1" s="1"/>
  <c r="V787" i="1" s="1"/>
  <c r="J788" i="1"/>
  <c r="U788" i="1" s="1"/>
  <c r="V788" i="1" s="1"/>
  <c r="J789" i="1"/>
  <c r="U789" i="1" s="1"/>
  <c r="V789" i="1" s="1"/>
  <c r="J790" i="1"/>
  <c r="U790" i="1" s="1"/>
  <c r="V790" i="1" s="1"/>
  <c r="J791" i="1"/>
  <c r="U791" i="1" s="1"/>
  <c r="V791" i="1" s="1"/>
  <c r="U792" i="1"/>
  <c r="V792" i="1" s="1"/>
  <c r="J793" i="1"/>
  <c r="U793" i="1" s="1"/>
  <c r="V793" i="1" s="1"/>
  <c r="J794" i="1"/>
  <c r="J796" i="1"/>
  <c r="U796" i="1" s="1"/>
  <c r="V796" i="1" s="1"/>
  <c r="J797" i="1"/>
  <c r="U797" i="1" s="1"/>
  <c r="V797" i="1" s="1"/>
  <c r="J799" i="1"/>
  <c r="U799" i="1" s="1"/>
  <c r="V799" i="1" s="1"/>
  <c r="J800" i="1"/>
  <c r="U800" i="1" s="1"/>
  <c r="V800" i="1" s="1"/>
  <c r="J801" i="1"/>
  <c r="U801" i="1" s="1"/>
  <c r="V801" i="1" s="1"/>
  <c r="J802" i="1"/>
  <c r="U802" i="1" s="1"/>
  <c r="V802" i="1" s="1"/>
  <c r="J803" i="1"/>
  <c r="U803" i="1" s="1"/>
  <c r="V803" i="1" s="1"/>
  <c r="J804" i="1"/>
  <c r="U804" i="1" s="1"/>
  <c r="V804" i="1" s="1"/>
  <c r="J805" i="1"/>
  <c r="U805" i="1" s="1"/>
  <c r="V805" i="1" s="1"/>
  <c r="J806" i="1"/>
  <c r="U806" i="1" s="1"/>
  <c r="V806" i="1" s="1"/>
  <c r="J807" i="1"/>
  <c r="U807" i="1" s="1"/>
  <c r="V807" i="1" s="1"/>
  <c r="J808" i="1"/>
  <c r="U808" i="1" s="1"/>
  <c r="V808" i="1" s="1"/>
  <c r="J809" i="1"/>
  <c r="U809" i="1" s="1"/>
  <c r="V809" i="1" s="1"/>
  <c r="J810" i="1"/>
  <c r="U810" i="1" s="1"/>
  <c r="V810" i="1" s="1"/>
  <c r="J811" i="1"/>
  <c r="U811" i="1" s="1"/>
  <c r="V811" i="1" s="1"/>
  <c r="J812" i="1"/>
  <c r="U812" i="1" s="1"/>
  <c r="V812" i="1" s="1"/>
  <c r="J813" i="1"/>
  <c r="U813" i="1" s="1"/>
  <c r="V813" i="1" s="1"/>
  <c r="J814" i="1"/>
  <c r="U814" i="1" s="1"/>
  <c r="V814" i="1" s="1"/>
  <c r="J815" i="1"/>
  <c r="U815" i="1" s="1"/>
  <c r="V815" i="1" s="1"/>
  <c r="J816" i="1"/>
  <c r="U816" i="1" s="1"/>
  <c r="V816" i="1" s="1"/>
  <c r="J817" i="1"/>
  <c r="U817" i="1" s="1"/>
  <c r="V817" i="1" s="1"/>
  <c r="J818" i="1"/>
  <c r="U818" i="1" s="1"/>
  <c r="V818" i="1" s="1"/>
  <c r="J819" i="1"/>
  <c r="U819" i="1" s="1"/>
  <c r="V819" i="1" s="1"/>
  <c r="J820" i="1"/>
  <c r="U820" i="1" s="1"/>
  <c r="V820" i="1" s="1"/>
  <c r="J821" i="1"/>
  <c r="U821" i="1" s="1"/>
  <c r="V821" i="1" s="1"/>
  <c r="J822" i="1"/>
  <c r="U822" i="1" s="1"/>
  <c r="V822" i="1" s="1"/>
  <c r="J823" i="1"/>
  <c r="U823" i="1" s="1"/>
  <c r="V823" i="1" s="1"/>
  <c r="J824" i="1"/>
  <c r="U824" i="1" s="1"/>
  <c r="V824" i="1" s="1"/>
  <c r="J825" i="1"/>
  <c r="U825" i="1" s="1"/>
  <c r="V825" i="1" s="1"/>
  <c r="J826" i="1"/>
  <c r="U826" i="1" s="1"/>
  <c r="V826" i="1" s="1"/>
  <c r="J827" i="1"/>
  <c r="U827" i="1" s="1"/>
  <c r="V827" i="1" s="1"/>
  <c r="J828" i="1"/>
  <c r="U828" i="1" s="1"/>
  <c r="V828" i="1" s="1"/>
  <c r="J829" i="1"/>
  <c r="U829" i="1" s="1"/>
  <c r="V829" i="1" s="1"/>
  <c r="J830" i="1"/>
  <c r="U830" i="1" s="1"/>
  <c r="V830" i="1" s="1"/>
  <c r="J831" i="1"/>
  <c r="U831" i="1" s="1"/>
  <c r="V831" i="1" s="1"/>
  <c r="J832" i="1"/>
  <c r="U832" i="1" s="1"/>
  <c r="V832" i="1" s="1"/>
  <c r="J833" i="1"/>
  <c r="U833" i="1" s="1"/>
  <c r="V833" i="1" s="1"/>
  <c r="J834" i="1"/>
  <c r="U834" i="1" s="1"/>
  <c r="V834" i="1" s="1"/>
  <c r="J835" i="1"/>
  <c r="J851" i="1"/>
  <c r="U851" i="1" s="1"/>
  <c r="V851" i="1" s="1"/>
  <c r="J852" i="1"/>
  <c r="U852" i="1" s="1"/>
  <c r="V852" i="1" s="1"/>
  <c r="J854" i="1"/>
  <c r="U854" i="1" s="1"/>
  <c r="V854" i="1" s="1"/>
  <c r="J855" i="1"/>
  <c r="U855" i="1" s="1"/>
  <c r="V855" i="1" s="1"/>
  <c r="J856" i="1"/>
  <c r="U856" i="1" s="1"/>
  <c r="V856" i="1" s="1"/>
  <c r="J857" i="1"/>
  <c r="U857" i="1" s="1"/>
  <c r="V857" i="1" s="1"/>
  <c r="J858" i="1"/>
  <c r="U858" i="1" s="1"/>
  <c r="V858" i="1" s="1"/>
  <c r="J859" i="1"/>
  <c r="U859" i="1" s="1"/>
  <c r="V859" i="1" s="1"/>
  <c r="J860" i="1"/>
  <c r="U860" i="1" s="1"/>
  <c r="V860" i="1" s="1"/>
  <c r="J861" i="1"/>
  <c r="U861" i="1" s="1"/>
  <c r="V861" i="1" s="1"/>
  <c r="J862" i="1"/>
  <c r="U862" i="1" s="1"/>
  <c r="V862" i="1" s="1"/>
  <c r="U865" i="1"/>
  <c r="V865" i="1" s="1"/>
  <c r="J873" i="1"/>
  <c r="U873" i="1" s="1"/>
  <c r="V873" i="1" s="1"/>
  <c r="V14" i="1" l="1"/>
  <c r="W14" i="1" s="1"/>
  <c r="X14" i="1" s="1"/>
  <c r="Y14" i="1" s="1"/>
  <c r="AC14" i="1" s="1"/>
  <c r="W661" i="1"/>
  <c r="W653" i="1"/>
  <c r="W645" i="1"/>
  <c r="W633" i="1"/>
  <c r="W605" i="1"/>
  <c r="W601" i="1"/>
  <c r="W589" i="1"/>
  <c r="W581" i="1"/>
  <c r="W572" i="1"/>
  <c r="W564" i="1"/>
  <c r="W556" i="1"/>
  <c r="W548" i="1"/>
  <c r="W540" i="1"/>
  <c r="W528" i="1"/>
  <c r="W520" i="1"/>
  <c r="W512" i="1"/>
  <c r="W503" i="1"/>
  <c r="W494" i="1"/>
  <c r="W486" i="1"/>
  <c r="W478" i="1"/>
  <c r="W469" i="1"/>
  <c r="W460" i="1"/>
  <c r="W442" i="1"/>
  <c r="W434" i="1"/>
  <c r="W414" i="1"/>
  <c r="W405" i="1"/>
  <c r="W394" i="1"/>
  <c r="W387" i="1"/>
  <c r="W379" i="1"/>
  <c r="W371" i="1"/>
  <c r="W322" i="1"/>
  <c r="W315" i="1"/>
  <c r="W293" i="1"/>
  <c r="W279" i="1"/>
  <c r="W261" i="1"/>
  <c r="W213" i="1"/>
  <c r="W179" i="1"/>
  <c r="X179" i="1" s="1"/>
  <c r="Y179" i="1" s="1"/>
  <c r="AC179" i="1" s="1"/>
  <c r="W169" i="1"/>
  <c r="X169" i="1" s="1"/>
  <c r="Y169" i="1" s="1"/>
  <c r="AC169" i="1" s="1"/>
  <c r="W147" i="1"/>
  <c r="X147" i="1" s="1"/>
  <c r="Y147" i="1" s="1"/>
  <c r="AC147" i="1" s="1"/>
  <c r="W132" i="1"/>
  <c r="X132" i="1" s="1"/>
  <c r="Y132" i="1" s="1"/>
  <c r="AC132" i="1" s="1"/>
  <c r="W111" i="1"/>
  <c r="X111" i="1" s="1"/>
  <c r="Y111" i="1" s="1"/>
  <c r="AC111" i="1" s="1"/>
  <c r="W862" i="1"/>
  <c r="W854" i="1"/>
  <c r="W826" i="1"/>
  <c r="W818" i="1"/>
  <c r="W810" i="1"/>
  <c r="W802" i="1"/>
  <c r="W792" i="1"/>
  <c r="W784" i="1"/>
  <c r="W775" i="1"/>
  <c r="W766" i="1"/>
  <c r="W757" i="1"/>
  <c r="W748" i="1"/>
  <c r="W740" i="1"/>
  <c r="W732" i="1"/>
  <c r="W724" i="1"/>
  <c r="W716" i="1"/>
  <c r="W706" i="1"/>
  <c r="W698" i="1"/>
  <c r="W690" i="1"/>
  <c r="W682" i="1"/>
  <c r="W674" i="1"/>
  <c r="W666" i="1"/>
  <c r="W652" i="1"/>
  <c r="W644" i="1"/>
  <c r="W636" i="1"/>
  <c r="W628" i="1"/>
  <c r="W616" i="1"/>
  <c r="W604" i="1"/>
  <c r="W596" i="1"/>
  <c r="W588" i="1"/>
  <c r="W580" i="1"/>
  <c r="W571" i="1"/>
  <c r="W559" i="1"/>
  <c r="W551" i="1"/>
  <c r="W543" i="1"/>
  <c r="W535" i="1"/>
  <c r="W527" i="1"/>
  <c r="W519" i="1"/>
  <c r="W507" i="1"/>
  <c r="W497" i="1"/>
  <c r="W489" i="1"/>
  <c r="W481" i="1"/>
  <c r="W468" i="1"/>
  <c r="W459" i="1"/>
  <c r="W450" i="1"/>
  <c r="W441" i="1"/>
  <c r="W433" i="1"/>
  <c r="W408" i="1"/>
  <c r="W400" i="1"/>
  <c r="W390" i="1"/>
  <c r="W382" i="1"/>
  <c r="W374" i="1"/>
  <c r="W366" i="1"/>
  <c r="W335" i="1"/>
  <c r="W328" i="1"/>
  <c r="W318" i="1"/>
  <c r="W277" i="1"/>
  <c r="W260" i="1"/>
  <c r="W244" i="1"/>
  <c r="W211" i="1"/>
  <c r="W186" i="1"/>
  <c r="X186" i="1" s="1"/>
  <c r="Y186" i="1" s="1"/>
  <c r="AC186" i="1" s="1"/>
  <c r="W167" i="1"/>
  <c r="X167" i="1" s="1"/>
  <c r="Y167" i="1" s="1"/>
  <c r="AC167" i="1" s="1"/>
  <c r="W160" i="1"/>
  <c r="X160" i="1" s="1"/>
  <c r="Y160" i="1" s="1"/>
  <c r="AC160" i="1" s="1"/>
  <c r="W145" i="1"/>
  <c r="X145" i="1" s="1"/>
  <c r="Y145" i="1" s="1"/>
  <c r="AC145" i="1" s="1"/>
  <c r="W122" i="1"/>
  <c r="X122" i="1" s="1"/>
  <c r="Y122" i="1" s="1"/>
  <c r="AC122" i="1" s="1"/>
  <c r="W110" i="1"/>
  <c r="X110" i="1" s="1"/>
  <c r="Y110" i="1" s="1"/>
  <c r="AC110" i="1" s="1"/>
  <c r="W829" i="1"/>
  <c r="W615" i="1"/>
  <c r="W607" i="1"/>
  <c r="W603" i="1"/>
  <c r="W599" i="1"/>
  <c r="W595" i="1"/>
  <c r="W591" i="1"/>
  <c r="W587" i="1"/>
  <c r="W583" i="1"/>
  <c r="W579" i="1"/>
  <c r="W570" i="1"/>
  <c r="W566" i="1"/>
  <c r="W562" i="1"/>
  <c r="W558" i="1"/>
  <c r="W554" i="1"/>
  <c r="W550" i="1"/>
  <c r="W546" i="1"/>
  <c r="W542" i="1"/>
  <c r="W538" i="1"/>
  <c r="W534" i="1"/>
  <c r="W530" i="1"/>
  <c r="W526" i="1"/>
  <c r="W522" i="1"/>
  <c r="W518" i="1"/>
  <c r="W514" i="1"/>
  <c r="W510" i="1"/>
  <c r="W506" i="1"/>
  <c r="W501" i="1"/>
  <c r="W496" i="1"/>
  <c r="W492" i="1"/>
  <c r="W488" i="1"/>
  <c r="W484" i="1"/>
  <c r="W480" i="1"/>
  <c r="W476" i="1"/>
  <c r="W472" i="1"/>
  <c r="W467" i="1"/>
  <c r="W463" i="1"/>
  <c r="W458" i="1"/>
  <c r="W453" i="1"/>
  <c r="W449" i="1"/>
  <c r="W444" i="1"/>
  <c r="W440" i="1"/>
  <c r="W436" i="1"/>
  <c r="W432" i="1"/>
  <c r="W431" i="1"/>
  <c r="W422" i="1"/>
  <c r="W416" i="1"/>
  <c r="W411" i="1"/>
  <c r="W407" i="1"/>
  <c r="W403" i="1"/>
  <c r="W398" i="1"/>
  <c r="W389" i="1"/>
  <c r="W385" i="1"/>
  <c r="W381" i="1"/>
  <c r="W377" i="1"/>
  <c r="W373" i="1"/>
  <c r="W369" i="1"/>
  <c r="W365" i="1"/>
  <c r="W361" i="1"/>
  <c r="W334" i="1"/>
  <c r="W331" i="1"/>
  <c r="W327" i="1"/>
  <c r="W324" i="1"/>
  <c r="W320" i="1"/>
  <c r="W317" i="1"/>
  <c r="W313" i="1"/>
  <c r="W292" i="1"/>
  <c r="W285" i="1"/>
  <c r="W274" i="1"/>
  <c r="W265" i="1"/>
  <c r="W257" i="1"/>
  <c r="W250" i="1"/>
  <c r="W237" i="1"/>
  <c r="W219" i="1"/>
  <c r="W189" i="1"/>
  <c r="X189" i="1" s="1"/>
  <c r="Y189" i="1" s="1"/>
  <c r="AC189" i="1" s="1"/>
  <c r="W183" i="1"/>
  <c r="X183" i="1" s="1"/>
  <c r="Y183" i="1" s="1"/>
  <c r="AC183" i="1" s="1"/>
  <c r="W174" i="1"/>
  <c r="X174" i="1" s="1"/>
  <c r="Y174" i="1" s="1"/>
  <c r="AC174" i="1" s="1"/>
  <c r="W159" i="1"/>
  <c r="X159" i="1" s="1"/>
  <c r="Y159" i="1" s="1"/>
  <c r="AC159" i="1" s="1"/>
  <c r="W149" i="1"/>
  <c r="X149" i="1" s="1"/>
  <c r="Y149" i="1" s="1"/>
  <c r="AC149" i="1" s="1"/>
  <c r="W144" i="1"/>
  <c r="X144" i="1" s="1"/>
  <c r="Y144" i="1" s="1"/>
  <c r="AC144" i="1" s="1"/>
  <c r="W139" i="1"/>
  <c r="X139" i="1" s="1"/>
  <c r="Y139" i="1" s="1"/>
  <c r="AC139" i="1" s="1"/>
  <c r="W127" i="1"/>
  <c r="X127" i="1" s="1"/>
  <c r="Y127" i="1" s="1"/>
  <c r="AC127" i="1" s="1"/>
  <c r="W120" i="1"/>
  <c r="X120" i="1" s="1"/>
  <c r="Y120" i="1" s="1"/>
  <c r="AC120" i="1" s="1"/>
  <c r="W115" i="1"/>
  <c r="X115" i="1" s="1"/>
  <c r="Y115" i="1" s="1"/>
  <c r="AC115" i="1" s="1"/>
  <c r="W109" i="1"/>
  <c r="X109" i="1" s="1"/>
  <c r="Y109" i="1" s="1"/>
  <c r="AC109" i="1" s="1"/>
  <c r="W865" i="1"/>
  <c r="W859" i="1"/>
  <c r="W855" i="1"/>
  <c r="W831" i="1"/>
  <c r="W827" i="1"/>
  <c r="W823" i="1"/>
  <c r="W819" i="1"/>
  <c r="W815" i="1"/>
  <c r="W811" i="1"/>
  <c r="W807" i="1"/>
  <c r="W803" i="1"/>
  <c r="W799" i="1"/>
  <c r="W793" i="1"/>
  <c r="W789" i="1"/>
  <c r="W785" i="1"/>
  <c r="W781" i="1"/>
  <c r="W776" i="1"/>
  <c r="W772" i="1"/>
  <c r="W767" i="1"/>
  <c r="W762" i="1"/>
  <c r="W758" i="1"/>
  <c r="W753" i="1"/>
  <c r="W749" i="1"/>
  <c r="W745" i="1"/>
  <c r="W741" i="1"/>
  <c r="W737" i="1"/>
  <c r="W733" i="1"/>
  <c r="W729" i="1"/>
  <c r="W725" i="1"/>
  <c r="W721" i="1"/>
  <c r="W717" i="1"/>
  <c r="W712" i="1"/>
  <c r="W707" i="1"/>
  <c r="W703" i="1"/>
  <c r="W699" i="1"/>
  <c r="W695" i="1"/>
  <c r="W691" i="1"/>
  <c r="W687" i="1"/>
  <c r="W683" i="1"/>
  <c r="W679" i="1"/>
  <c r="W675" i="1"/>
  <c r="W671" i="1"/>
  <c r="W667" i="1"/>
  <c r="W657" i="1"/>
  <c r="W649" i="1"/>
  <c r="W641" i="1"/>
  <c r="W637" i="1"/>
  <c r="W629" i="1"/>
  <c r="W625" i="1"/>
  <c r="W621" i="1"/>
  <c r="W617" i="1"/>
  <c r="W609" i="1"/>
  <c r="W597" i="1"/>
  <c r="W593" i="1"/>
  <c r="W585" i="1"/>
  <c r="W577" i="1"/>
  <c r="W568" i="1"/>
  <c r="W560" i="1"/>
  <c r="W552" i="1"/>
  <c r="W544" i="1"/>
  <c r="W536" i="1"/>
  <c r="W532" i="1"/>
  <c r="W524" i="1"/>
  <c r="W516" i="1"/>
  <c r="W508" i="1"/>
  <c r="W498" i="1"/>
  <c r="W490" i="1"/>
  <c r="W482" i="1"/>
  <c r="W474" i="1"/>
  <c r="W465" i="1"/>
  <c r="W451" i="1"/>
  <c r="W446" i="1"/>
  <c r="W438" i="1"/>
  <c r="W420" i="1"/>
  <c r="W409" i="1"/>
  <c r="W401" i="1"/>
  <c r="W391" i="1"/>
  <c r="W383" i="1"/>
  <c r="W375" i="1"/>
  <c r="W367" i="1"/>
  <c r="W336" i="1"/>
  <c r="W311" i="1"/>
  <c r="W304" i="1"/>
  <c r="W287" i="1"/>
  <c r="W267" i="1"/>
  <c r="W225" i="1"/>
  <c r="W203" i="1"/>
  <c r="W187" i="1"/>
  <c r="X187" i="1" s="1"/>
  <c r="Y187" i="1" s="1"/>
  <c r="AC187" i="1" s="1"/>
  <c r="W164" i="1"/>
  <c r="X164" i="1" s="1"/>
  <c r="Y164" i="1" s="1"/>
  <c r="AC164" i="1" s="1"/>
  <c r="W155" i="1"/>
  <c r="X155" i="1" s="1"/>
  <c r="Y155" i="1" s="1"/>
  <c r="AC155" i="1" s="1"/>
  <c r="W142" i="1"/>
  <c r="X142" i="1" s="1"/>
  <c r="Y142" i="1" s="1"/>
  <c r="AC142" i="1" s="1"/>
  <c r="W125" i="1"/>
  <c r="X125" i="1" s="1"/>
  <c r="Y125" i="1" s="1"/>
  <c r="AC125" i="1" s="1"/>
  <c r="W105" i="1"/>
  <c r="X105" i="1" s="1"/>
  <c r="Y105" i="1" s="1"/>
  <c r="AC105" i="1" s="1"/>
  <c r="W858" i="1"/>
  <c r="W834" i="1"/>
  <c r="W830" i="1"/>
  <c r="W822" i="1"/>
  <c r="W814" i="1"/>
  <c r="W806" i="1"/>
  <c r="W797" i="1"/>
  <c r="W788" i="1"/>
  <c r="W780" i="1"/>
  <c r="W771" i="1"/>
  <c r="W761" i="1"/>
  <c r="W752" i="1"/>
  <c r="W744" i="1"/>
  <c r="W736" i="1"/>
  <c r="W728" i="1"/>
  <c r="W720" i="1"/>
  <c r="W711" i="1"/>
  <c r="W702" i="1"/>
  <c r="W694" i="1"/>
  <c r="W686" i="1"/>
  <c r="W678" i="1"/>
  <c r="W670" i="1"/>
  <c r="W660" i="1"/>
  <c r="W656" i="1"/>
  <c r="W648" i="1"/>
  <c r="W640" i="1"/>
  <c r="W632" i="1"/>
  <c r="W624" i="1"/>
  <c r="W620" i="1"/>
  <c r="W608" i="1"/>
  <c r="W600" i="1"/>
  <c r="W592" i="1"/>
  <c r="W584" i="1"/>
  <c r="W576" i="1"/>
  <c r="W567" i="1"/>
  <c r="W563" i="1"/>
  <c r="W555" i="1"/>
  <c r="W547" i="1"/>
  <c r="W539" i="1"/>
  <c r="W531" i="1"/>
  <c r="W523" i="1"/>
  <c r="W515" i="1"/>
  <c r="W511" i="1"/>
  <c r="W502" i="1"/>
  <c r="W493" i="1"/>
  <c r="W485" i="1"/>
  <c r="W477" i="1"/>
  <c r="W473" i="1"/>
  <c r="W464" i="1"/>
  <c r="W454" i="1"/>
  <c r="W445" i="1"/>
  <c r="W437" i="1"/>
  <c r="W417" i="1"/>
  <c r="W412" i="1"/>
  <c r="W404" i="1"/>
  <c r="W393" i="1"/>
  <c r="W386" i="1"/>
  <c r="W378" i="1"/>
  <c r="W370" i="1"/>
  <c r="W362" i="1"/>
  <c r="W332" i="1"/>
  <c r="W325" i="1"/>
  <c r="W321" i="1"/>
  <c r="W314" i="1"/>
  <c r="W301" i="1"/>
  <c r="W286" i="1"/>
  <c r="W266" i="1"/>
  <c r="W252" i="1"/>
  <c r="W220" i="1"/>
  <c r="W191" i="1"/>
  <c r="X191" i="1" s="1"/>
  <c r="Y191" i="1" s="1"/>
  <c r="AC191" i="1" s="1"/>
  <c r="W177" i="1"/>
  <c r="X177" i="1" s="1"/>
  <c r="Y177" i="1" s="1"/>
  <c r="AC177" i="1" s="1"/>
  <c r="W163" i="1"/>
  <c r="X163" i="1" s="1"/>
  <c r="Y163" i="1" s="1"/>
  <c r="AC163" i="1" s="1"/>
  <c r="W151" i="1"/>
  <c r="X151" i="1" s="1"/>
  <c r="Y151" i="1" s="1"/>
  <c r="AC151" i="1" s="1"/>
  <c r="W141" i="1"/>
  <c r="X141" i="1" s="1"/>
  <c r="Y141" i="1" s="1"/>
  <c r="AC141" i="1" s="1"/>
  <c r="W130" i="1"/>
  <c r="X130" i="1" s="1"/>
  <c r="Y130" i="1" s="1"/>
  <c r="AC130" i="1" s="1"/>
  <c r="W861" i="1"/>
  <c r="W857" i="1"/>
  <c r="W852" i="1"/>
  <c r="W833" i="1"/>
  <c r="W825" i="1"/>
  <c r="W821" i="1"/>
  <c r="W817" i="1"/>
  <c r="W813" i="1"/>
  <c r="W809" i="1"/>
  <c r="W805" i="1"/>
  <c r="W801" i="1"/>
  <c r="W796" i="1"/>
  <c r="W791" i="1"/>
  <c r="W787" i="1"/>
  <c r="W783" i="1"/>
  <c r="W774" i="1"/>
  <c r="W770" i="1"/>
  <c r="W765" i="1"/>
  <c r="W760" i="1"/>
  <c r="W756" i="1"/>
  <c r="W751" i="1"/>
  <c r="W747" i="1"/>
  <c r="W743" i="1"/>
  <c r="W739" i="1"/>
  <c r="W735" i="1"/>
  <c r="W731" i="1"/>
  <c r="W727" i="1"/>
  <c r="W723" i="1"/>
  <c r="W719" i="1"/>
  <c r="W714" i="1"/>
  <c r="W710" i="1"/>
  <c r="W705" i="1"/>
  <c r="W701" i="1"/>
  <c r="W697" i="1"/>
  <c r="W693" i="1"/>
  <c r="W689" i="1"/>
  <c r="W685" i="1"/>
  <c r="W681" i="1"/>
  <c r="W677" i="1"/>
  <c r="W673" i="1"/>
  <c r="W669" i="1"/>
  <c r="W659" i="1"/>
  <c r="W655" i="1"/>
  <c r="W651" i="1"/>
  <c r="W647" i="1"/>
  <c r="W643" i="1"/>
  <c r="W639" i="1"/>
  <c r="W635" i="1"/>
  <c r="W631" i="1"/>
  <c r="W627" i="1"/>
  <c r="W623" i="1"/>
  <c r="W619" i="1"/>
  <c r="W873" i="1"/>
  <c r="W860" i="1"/>
  <c r="W856" i="1"/>
  <c r="W851" i="1"/>
  <c r="W832" i="1"/>
  <c r="W828" i="1"/>
  <c r="W824" i="1"/>
  <c r="W820" i="1"/>
  <c r="W816" i="1"/>
  <c r="W812" i="1"/>
  <c r="W808" i="1"/>
  <c r="W804" i="1"/>
  <c r="W800" i="1"/>
  <c r="W790" i="1"/>
  <c r="W786" i="1"/>
  <c r="W782" i="1"/>
  <c r="W777" i="1"/>
  <c r="W773" i="1"/>
  <c r="W768" i="1"/>
  <c r="W763" i="1"/>
  <c r="W759" i="1"/>
  <c r="W755" i="1"/>
  <c r="W750" i="1"/>
  <c r="W746" i="1"/>
  <c r="W742" i="1"/>
  <c r="W738" i="1"/>
  <c r="W734" i="1"/>
  <c r="W730" i="1"/>
  <c r="W726" i="1"/>
  <c r="W722" i="1"/>
  <c r="W718" i="1"/>
  <c r="W713" i="1"/>
  <c r="W709" i="1"/>
  <c r="W704" i="1"/>
  <c r="W700" i="1"/>
  <c r="W696" i="1"/>
  <c r="W692" i="1"/>
  <c r="W688" i="1"/>
  <c r="W684" i="1"/>
  <c r="W680" i="1"/>
  <c r="W676" i="1"/>
  <c r="W672" i="1"/>
  <c r="W668" i="1"/>
  <c r="W662" i="1"/>
  <c r="W658" i="1"/>
  <c r="W654" i="1"/>
  <c r="W650" i="1"/>
  <c r="W646" i="1"/>
  <c r="W642" i="1"/>
  <c r="W638" i="1"/>
  <c r="W634" i="1"/>
  <c r="W630" i="1"/>
  <c r="W626" i="1"/>
  <c r="W622" i="1"/>
  <c r="W618" i="1"/>
  <c r="W606" i="1"/>
  <c r="W602" i="1"/>
  <c r="W598" i="1"/>
  <c r="W594" i="1"/>
  <c r="W590" i="1"/>
  <c r="W586" i="1"/>
  <c r="W582" i="1"/>
  <c r="W578" i="1"/>
  <c r="W573" i="1"/>
  <c r="W569" i="1"/>
  <c r="W565" i="1"/>
  <c r="W561" i="1"/>
  <c r="W557" i="1"/>
  <c r="W553" i="1"/>
  <c r="W549" i="1"/>
  <c r="W545" i="1"/>
  <c r="W541" i="1"/>
  <c r="W537" i="1"/>
  <c r="W533" i="1"/>
  <c r="W529" i="1"/>
  <c r="W525" i="1"/>
  <c r="W521" i="1"/>
  <c r="W517" i="1"/>
  <c r="W513" i="1"/>
  <c r="W509" i="1"/>
  <c r="W505" i="1"/>
  <c r="W500" i="1"/>
  <c r="W495" i="1"/>
  <c r="W491" i="1"/>
  <c r="W487" i="1"/>
  <c r="W483" i="1"/>
  <c r="W479" i="1"/>
  <c r="W475" i="1"/>
  <c r="W471" i="1"/>
  <c r="W466" i="1"/>
  <c r="W461" i="1"/>
  <c r="W457" i="1"/>
  <c r="W452" i="1"/>
  <c r="W448" i="1"/>
  <c r="W443" i="1"/>
  <c r="W439" i="1"/>
  <c r="W435" i="1"/>
  <c r="W430" i="1"/>
  <c r="W421" i="1"/>
  <c r="W415" i="1"/>
  <c r="W410" i="1"/>
  <c r="W406" i="1"/>
  <c r="W402" i="1"/>
  <c r="W395" i="1"/>
  <c r="W392" i="1"/>
  <c r="W388" i="1"/>
  <c r="W384" i="1"/>
  <c r="W380" i="1"/>
  <c r="W376" i="1"/>
  <c r="W372" i="1"/>
  <c r="W368" i="1"/>
  <c r="W364" i="1"/>
  <c r="W333" i="1"/>
  <c r="W326" i="1"/>
  <c r="W323" i="1"/>
  <c r="W319" i="1"/>
  <c r="W316" i="1"/>
  <c r="W312" i="1"/>
  <c r="W291" i="1"/>
  <c r="W280" i="1"/>
  <c r="W263" i="1"/>
  <c r="W255" i="1"/>
  <c r="W245" i="1"/>
  <c r="W229" i="1"/>
  <c r="W214" i="1"/>
  <c r="W204" i="1"/>
  <c r="W188" i="1"/>
  <c r="X188" i="1" s="1"/>
  <c r="Y188" i="1" s="1"/>
  <c r="AC188" i="1" s="1"/>
  <c r="W181" i="1"/>
  <c r="X181" i="1" s="1"/>
  <c r="Y181" i="1" s="1"/>
  <c r="AC181" i="1" s="1"/>
  <c r="W173" i="1"/>
  <c r="X173" i="1" s="1"/>
  <c r="Y173" i="1" s="1"/>
  <c r="AC173" i="1" s="1"/>
  <c r="W165" i="1"/>
  <c r="X165" i="1" s="1"/>
  <c r="Y165" i="1" s="1"/>
  <c r="AC165" i="1" s="1"/>
  <c r="W161" i="1"/>
  <c r="X161" i="1" s="1"/>
  <c r="Y161" i="1" s="1"/>
  <c r="AC161" i="1" s="1"/>
  <c r="W157" i="1"/>
  <c r="X157" i="1" s="1"/>
  <c r="Y157" i="1" s="1"/>
  <c r="AC157" i="1" s="1"/>
  <c r="W148" i="1"/>
  <c r="X148" i="1" s="1"/>
  <c r="Y148" i="1" s="1"/>
  <c r="AC148" i="1" s="1"/>
  <c r="W143" i="1"/>
  <c r="X143" i="1" s="1"/>
  <c r="Y143" i="1" s="1"/>
  <c r="AC143" i="1" s="1"/>
  <c r="W138" i="1"/>
  <c r="X138" i="1" s="1"/>
  <c r="Y138" i="1" s="1"/>
  <c r="AC138" i="1" s="1"/>
  <c r="W126" i="1"/>
  <c r="X126" i="1" s="1"/>
  <c r="Y126" i="1" s="1"/>
  <c r="AC126" i="1" s="1"/>
  <c r="W119" i="1"/>
  <c r="X119" i="1" s="1"/>
  <c r="Y119" i="1" s="1"/>
  <c r="AC119" i="1" s="1"/>
  <c r="W113" i="1"/>
  <c r="X113" i="1" s="1"/>
  <c r="Y113" i="1" s="1"/>
  <c r="AC113" i="1" s="1"/>
  <c r="W108" i="1"/>
  <c r="X108" i="1" s="1"/>
  <c r="Y108" i="1" s="1"/>
  <c r="AC108" i="1" s="1"/>
  <c r="I241" i="1"/>
  <c r="J241" i="1" s="1"/>
  <c r="U241" i="1" s="1"/>
  <c r="V241" i="1" s="1"/>
  <c r="I288" i="1"/>
  <c r="J288" i="1" s="1"/>
  <c r="U288" i="1" s="1"/>
  <c r="V288" i="1" s="1"/>
  <c r="I44" i="1"/>
  <c r="J44" i="1" s="1"/>
  <c r="U44" i="1" s="1"/>
  <c r="V44" i="1" s="1"/>
  <c r="W44" i="1" s="1"/>
  <c r="X44" i="1" s="1"/>
  <c r="Y44" i="1" s="1"/>
  <c r="AC44" i="1" s="1"/>
  <c r="I54" i="1"/>
  <c r="J54" i="1" s="1"/>
  <c r="U54" i="1" s="1"/>
  <c r="V54" i="1" s="1"/>
  <c r="W54" i="1" s="1"/>
  <c r="X54" i="1" s="1"/>
  <c r="Y54" i="1" s="1"/>
  <c r="AC54" i="1" s="1"/>
  <c r="I146" i="1"/>
  <c r="I81" i="1"/>
  <c r="J81" i="1" s="1"/>
  <c r="U81" i="1" s="1"/>
  <c r="V81" i="1" s="1"/>
  <c r="W81" i="1" s="1"/>
  <c r="X81" i="1" s="1"/>
  <c r="Y81" i="1" s="1"/>
  <c r="AC81" i="1" s="1"/>
  <c r="I92" i="1"/>
  <c r="J92" i="1" s="1"/>
  <c r="U92" i="1" s="1"/>
  <c r="V92" i="1" s="1"/>
  <c r="W92" i="1" s="1"/>
  <c r="X92" i="1" s="1"/>
  <c r="Y92" i="1" s="1"/>
  <c r="AC92" i="1" s="1"/>
  <c r="I171" i="1"/>
  <c r="J171" i="1" s="1"/>
  <c r="U171" i="1" s="1"/>
  <c r="V171" i="1" s="1"/>
  <c r="I715" i="1"/>
  <c r="J715" i="1" s="1"/>
  <c r="U715" i="1" s="1"/>
  <c r="V715" i="1" s="1"/>
  <c r="I663" i="1"/>
  <c r="J663" i="1" s="1"/>
  <c r="I134" i="1"/>
  <c r="J134" i="1" s="1"/>
  <c r="U134" i="1" s="1"/>
  <c r="V134" i="1" s="1"/>
  <c r="I56" i="1"/>
  <c r="J56" i="1" s="1"/>
  <c r="U56" i="1" s="1"/>
  <c r="V56" i="1" s="1"/>
  <c r="W56" i="1" s="1"/>
  <c r="X56" i="1" s="1"/>
  <c r="Y56" i="1" s="1"/>
  <c r="AC56" i="1" s="1"/>
  <c r="I67" i="1"/>
  <c r="J67" i="1" s="1"/>
  <c r="U67" i="1" s="1"/>
  <c r="V67" i="1" s="1"/>
  <c r="W67" i="1" s="1"/>
  <c r="X67" i="1" s="1"/>
  <c r="Y67" i="1" s="1"/>
  <c r="AC67" i="1" s="1"/>
  <c r="I58" i="1"/>
  <c r="J58" i="1" s="1"/>
  <c r="U58" i="1" s="1"/>
  <c r="V58" i="1" s="1"/>
  <c r="W58" i="1" s="1"/>
  <c r="X58" i="1" s="1"/>
  <c r="Y58" i="1" s="1"/>
  <c r="AC58" i="1" s="1"/>
  <c r="I78" i="1"/>
  <c r="J78" i="1" s="1"/>
  <c r="U78" i="1" s="1"/>
  <c r="V78" i="1" s="1"/>
  <c r="W78" i="1" s="1"/>
  <c r="X78" i="1" s="1"/>
  <c r="Y78" i="1" s="1"/>
  <c r="AC78" i="1" s="1"/>
  <c r="I136" i="1"/>
  <c r="I247" i="1"/>
  <c r="I209" i="1"/>
  <c r="J209" i="1" s="1"/>
  <c r="U209" i="1" s="1"/>
  <c r="V209" i="1" s="1"/>
  <c r="I268" i="1"/>
  <c r="J268" i="1" s="1"/>
  <c r="U268" i="1" s="1"/>
  <c r="V268" i="1" s="1"/>
  <c r="I302" i="1"/>
  <c r="I275" i="1"/>
  <c r="I259" i="1"/>
  <c r="I251" i="1"/>
  <c r="J251" i="1" s="1"/>
  <c r="U251" i="1" s="1"/>
  <c r="V251" i="1" s="1"/>
  <c r="I283" i="1"/>
  <c r="J283" i="1" s="1"/>
  <c r="U283" i="1" s="1"/>
  <c r="V283" i="1" s="1"/>
  <c r="I195" i="1"/>
  <c r="I206" i="1"/>
  <c r="J206" i="1" s="1"/>
  <c r="I222" i="1"/>
  <c r="J222" i="1" s="1"/>
  <c r="U222" i="1" s="1"/>
  <c r="V222" i="1" s="1"/>
  <c r="I199" i="1"/>
  <c r="J199" i="1" s="1"/>
  <c r="U199" i="1" s="1"/>
  <c r="V199" i="1" s="1"/>
  <c r="I198" i="1"/>
  <c r="J198" i="1" s="1"/>
  <c r="U198" i="1" s="1"/>
  <c r="V198" i="1" s="1"/>
  <c r="I202" i="1"/>
  <c r="J202" i="1" s="1"/>
  <c r="U202" i="1" s="1"/>
  <c r="V202" i="1" s="1"/>
  <c r="I226" i="1"/>
  <c r="I234" i="1"/>
  <c r="I233" i="1"/>
  <c r="I97" i="1"/>
  <c r="J97" i="1" s="1"/>
  <c r="U97" i="1" s="1"/>
  <c r="V97" i="1" s="1"/>
  <c r="W97" i="1" s="1"/>
  <c r="X97" i="1" s="1"/>
  <c r="Y97" i="1" s="1"/>
  <c r="AC97" i="1" s="1"/>
  <c r="I281" i="1"/>
  <c r="J281" i="1" s="1"/>
  <c r="U281" i="1" s="1"/>
  <c r="V281" i="1" s="1"/>
  <c r="I270" i="1"/>
  <c r="J270" i="1" s="1"/>
  <c r="U270" i="1" s="1"/>
  <c r="V270" i="1" s="1"/>
  <c r="I329" i="1"/>
  <c r="J329" i="1" s="1"/>
  <c r="I294" i="1"/>
  <c r="I754" i="1"/>
  <c r="J754" i="1" s="1"/>
  <c r="U754" i="1" s="1"/>
  <c r="V754" i="1" s="1"/>
  <c r="I769" i="1"/>
  <c r="J769" i="1" s="1"/>
  <c r="U769" i="1" s="1"/>
  <c r="V769" i="1" s="1"/>
  <c r="X316" i="1" l="1"/>
  <c r="Y316" i="1" s="1"/>
  <c r="AC316" i="1" s="1"/>
  <c r="X376" i="1"/>
  <c r="Y376" i="1" s="1"/>
  <c r="AC376" i="1" s="1"/>
  <c r="X410" i="1"/>
  <c r="Y410" i="1" s="1"/>
  <c r="AC410" i="1" s="1"/>
  <c r="X452" i="1"/>
  <c r="Y452" i="1" s="1"/>
  <c r="AC452" i="1" s="1"/>
  <c r="X487" i="1"/>
  <c r="Y487" i="1" s="1"/>
  <c r="AC487" i="1" s="1"/>
  <c r="X537" i="1"/>
  <c r="Y537" i="1" s="1"/>
  <c r="AC537" i="1" s="1"/>
  <c r="X569" i="1"/>
  <c r="Y569" i="1" s="1"/>
  <c r="AC569" i="1" s="1"/>
  <c r="X602" i="1"/>
  <c r="Y602" i="1" s="1"/>
  <c r="AC602" i="1" s="1"/>
  <c r="X642" i="1"/>
  <c r="Y642" i="1" s="1"/>
  <c r="AC642" i="1" s="1"/>
  <c r="X658" i="1"/>
  <c r="Y658" i="1" s="1"/>
  <c r="AC658" i="1" s="1"/>
  <c r="X692" i="1"/>
  <c r="Y692" i="1" s="1"/>
  <c r="AC692" i="1" s="1"/>
  <c r="X726" i="1"/>
  <c r="Y726" i="1" s="1"/>
  <c r="AC726" i="1" s="1"/>
  <c r="X759" i="1"/>
  <c r="Y759" i="1" s="1"/>
  <c r="AC759" i="1" s="1"/>
  <c r="X800" i="1"/>
  <c r="Y800" i="1" s="1"/>
  <c r="AC800" i="1" s="1"/>
  <c r="X832" i="1"/>
  <c r="Y832" i="1" s="1"/>
  <c r="AC832" i="1" s="1"/>
  <c r="X873" i="1"/>
  <c r="Y873" i="1" s="1"/>
  <c r="AC873" i="1" s="1"/>
  <c r="X647" i="1"/>
  <c r="Y647" i="1" s="1"/>
  <c r="AC647" i="1" s="1"/>
  <c r="X685" i="1"/>
  <c r="Y685" i="1" s="1"/>
  <c r="AC685" i="1" s="1"/>
  <c r="X719" i="1"/>
  <c r="Y719" i="1" s="1"/>
  <c r="AC719" i="1" s="1"/>
  <c r="X770" i="1"/>
  <c r="Y770" i="1" s="1"/>
  <c r="AC770" i="1" s="1"/>
  <c r="X809" i="1"/>
  <c r="Y809" i="1" s="1"/>
  <c r="AC809" i="1" s="1"/>
  <c r="X252" i="1"/>
  <c r="Y252" i="1" s="1"/>
  <c r="AC252" i="1" s="1"/>
  <c r="X362" i="1"/>
  <c r="Y362" i="1" s="1"/>
  <c r="AC362" i="1" s="1"/>
  <c r="X437" i="1"/>
  <c r="Y437" i="1" s="1"/>
  <c r="AC437" i="1" s="1"/>
  <c r="X502" i="1"/>
  <c r="Y502" i="1" s="1"/>
  <c r="AC502" i="1" s="1"/>
  <c r="X563" i="1"/>
  <c r="Y563" i="1" s="1"/>
  <c r="AC563" i="1" s="1"/>
  <c r="X624" i="1"/>
  <c r="Y624" i="1" s="1"/>
  <c r="AC624" i="1" s="1"/>
  <c r="X656" i="1"/>
  <c r="Y656" i="1" s="1"/>
  <c r="AC656" i="1" s="1"/>
  <c r="X720" i="1"/>
  <c r="Y720" i="1" s="1"/>
  <c r="AC720" i="1" s="1"/>
  <c r="X788" i="1"/>
  <c r="Y788" i="1" s="1"/>
  <c r="AC788" i="1" s="1"/>
  <c r="X267" i="1"/>
  <c r="Y267" i="1" s="1"/>
  <c r="AC267" i="1" s="1"/>
  <c r="X336" i="1"/>
  <c r="Y336" i="1" s="1"/>
  <c r="AC336" i="1" s="1"/>
  <c r="X474" i="1"/>
  <c r="Y474" i="1" s="1"/>
  <c r="AC474" i="1" s="1"/>
  <c r="X508" i="1"/>
  <c r="Y508" i="1" s="1"/>
  <c r="AC508" i="1" s="1"/>
  <c r="X568" i="1"/>
  <c r="Y568" i="1" s="1"/>
  <c r="AC568" i="1" s="1"/>
  <c r="X625" i="1"/>
  <c r="Y625" i="1" s="1"/>
  <c r="AC625" i="1" s="1"/>
  <c r="X675" i="1"/>
  <c r="Y675" i="1" s="1"/>
  <c r="AC675" i="1" s="1"/>
  <c r="X707" i="1"/>
  <c r="Y707" i="1" s="1"/>
  <c r="AC707" i="1" s="1"/>
  <c r="X725" i="1"/>
  <c r="Y725" i="1" s="1"/>
  <c r="AC725" i="1" s="1"/>
  <c r="X758" i="1"/>
  <c r="Y758" i="1" s="1"/>
  <c r="AC758" i="1" s="1"/>
  <c r="X793" i="1"/>
  <c r="Y793" i="1" s="1"/>
  <c r="AC793" i="1" s="1"/>
  <c r="X827" i="1"/>
  <c r="Y827" i="1" s="1"/>
  <c r="AC827" i="1" s="1"/>
  <c r="X865" i="1"/>
  <c r="Y865" i="1" s="1"/>
  <c r="AC865" i="1" s="1"/>
  <c r="X265" i="1"/>
  <c r="Y265" i="1" s="1"/>
  <c r="AC265" i="1" s="1"/>
  <c r="X327" i="1"/>
  <c r="Y327" i="1" s="1"/>
  <c r="AC327" i="1" s="1"/>
  <c r="X381" i="1"/>
  <c r="Y381" i="1" s="1"/>
  <c r="AC381" i="1" s="1"/>
  <c r="X416" i="1"/>
  <c r="Y416" i="1" s="1"/>
  <c r="AC416" i="1" s="1"/>
  <c r="X436" i="1"/>
  <c r="Y436" i="1" s="1"/>
  <c r="AC436" i="1" s="1"/>
  <c r="X472" i="1"/>
  <c r="Y472" i="1" s="1"/>
  <c r="AC472" i="1" s="1"/>
  <c r="X506" i="1"/>
  <c r="Y506" i="1" s="1"/>
  <c r="AC506" i="1" s="1"/>
  <c r="X538" i="1"/>
  <c r="Y538" i="1" s="1"/>
  <c r="AC538" i="1" s="1"/>
  <c r="X570" i="1"/>
  <c r="Y570" i="1" s="1"/>
  <c r="AC570" i="1" s="1"/>
  <c r="X607" i="1"/>
  <c r="Y607" i="1" s="1"/>
  <c r="AC607" i="1" s="1"/>
  <c r="X277" i="1"/>
  <c r="Y277" i="1" s="1"/>
  <c r="AC277" i="1" s="1"/>
  <c r="X400" i="1"/>
  <c r="Y400" i="1" s="1"/>
  <c r="AC400" i="1" s="1"/>
  <c r="X489" i="1"/>
  <c r="Y489" i="1" s="1"/>
  <c r="AC489" i="1" s="1"/>
  <c r="X559" i="1"/>
  <c r="Y559" i="1" s="1"/>
  <c r="AC559" i="1" s="1"/>
  <c r="X636" i="1"/>
  <c r="Y636" i="1" s="1"/>
  <c r="AC636" i="1" s="1"/>
  <c r="X706" i="1"/>
  <c r="Y706" i="1" s="1"/>
  <c r="AC706" i="1" s="1"/>
  <c r="X775" i="1"/>
  <c r="Y775" i="1" s="1"/>
  <c r="AC775" i="1" s="1"/>
  <c r="X371" i="1"/>
  <c r="Y371" i="1" s="1"/>
  <c r="AC371" i="1" s="1"/>
  <c r="X460" i="1"/>
  <c r="Y460" i="1" s="1"/>
  <c r="AC460" i="1" s="1"/>
  <c r="X528" i="1"/>
  <c r="Y528" i="1" s="1"/>
  <c r="AC528" i="1" s="1"/>
  <c r="X601" i="1"/>
  <c r="Y601" i="1" s="1"/>
  <c r="AC601" i="1" s="1"/>
  <c r="X280" i="1"/>
  <c r="Y280" i="1" s="1"/>
  <c r="AC280" i="1" s="1"/>
  <c r="X319" i="1"/>
  <c r="Y319" i="1" s="1"/>
  <c r="AC319" i="1" s="1"/>
  <c r="X380" i="1"/>
  <c r="Y380" i="1" s="1"/>
  <c r="AC380" i="1" s="1"/>
  <c r="X415" i="1"/>
  <c r="Y415" i="1" s="1"/>
  <c r="AC415" i="1" s="1"/>
  <c r="X457" i="1"/>
  <c r="Y457" i="1" s="1"/>
  <c r="AC457" i="1" s="1"/>
  <c r="X491" i="1"/>
  <c r="Y491" i="1" s="1"/>
  <c r="AC491" i="1" s="1"/>
  <c r="X525" i="1"/>
  <c r="Y525" i="1" s="1"/>
  <c r="AC525" i="1" s="1"/>
  <c r="X557" i="1"/>
  <c r="Y557" i="1" s="1"/>
  <c r="AC557" i="1" s="1"/>
  <c r="X573" i="1"/>
  <c r="Y573" i="1" s="1"/>
  <c r="AC573" i="1" s="1"/>
  <c r="X606" i="1"/>
  <c r="Y606" i="1" s="1"/>
  <c r="AC606" i="1" s="1"/>
  <c r="X646" i="1"/>
  <c r="Y646" i="1" s="1"/>
  <c r="AC646" i="1" s="1"/>
  <c r="X680" i="1"/>
  <c r="Y680" i="1" s="1"/>
  <c r="AC680" i="1" s="1"/>
  <c r="X713" i="1"/>
  <c r="Y713" i="1" s="1"/>
  <c r="AC713" i="1" s="1"/>
  <c r="X746" i="1"/>
  <c r="Y746" i="1" s="1"/>
  <c r="AC746" i="1" s="1"/>
  <c r="X782" i="1"/>
  <c r="Y782" i="1" s="1"/>
  <c r="AC782" i="1" s="1"/>
  <c r="X820" i="1"/>
  <c r="Y820" i="1" s="1"/>
  <c r="AC820" i="1" s="1"/>
  <c r="X619" i="1"/>
  <c r="Y619" i="1" s="1"/>
  <c r="AC619" i="1" s="1"/>
  <c r="X651" i="1"/>
  <c r="Y651" i="1" s="1"/>
  <c r="AC651" i="1" s="1"/>
  <c r="X689" i="1"/>
  <c r="Y689" i="1" s="1"/>
  <c r="AC689" i="1" s="1"/>
  <c r="X723" i="1"/>
  <c r="Y723" i="1" s="1"/>
  <c r="AC723" i="1" s="1"/>
  <c r="X756" i="1"/>
  <c r="Y756" i="1" s="1"/>
  <c r="AC756" i="1" s="1"/>
  <c r="X774" i="1"/>
  <c r="Y774" i="1" s="1"/>
  <c r="AC774" i="1" s="1"/>
  <c r="X813" i="1"/>
  <c r="Y813" i="1" s="1"/>
  <c r="AC813" i="1" s="1"/>
  <c r="X266" i="1"/>
  <c r="Y266" i="1" s="1"/>
  <c r="AC266" i="1" s="1"/>
  <c r="X370" i="1"/>
  <c r="Y370" i="1" s="1"/>
  <c r="AC370" i="1" s="1"/>
  <c r="X445" i="1"/>
  <c r="Y445" i="1" s="1"/>
  <c r="AC445" i="1" s="1"/>
  <c r="X511" i="1"/>
  <c r="Y511" i="1" s="1"/>
  <c r="AC511" i="1" s="1"/>
  <c r="X567" i="1"/>
  <c r="Y567" i="1" s="1"/>
  <c r="AC567" i="1" s="1"/>
  <c r="X632" i="1"/>
  <c r="Y632" i="1" s="1"/>
  <c r="AC632" i="1" s="1"/>
  <c r="X660" i="1"/>
  <c r="Y660" i="1" s="1"/>
  <c r="AC660" i="1" s="1"/>
  <c r="X761" i="1"/>
  <c r="Y761" i="1" s="1"/>
  <c r="AC761" i="1" s="1"/>
  <c r="X830" i="1"/>
  <c r="Y830" i="1" s="1"/>
  <c r="AC830" i="1" s="1"/>
  <c r="X287" i="1"/>
  <c r="Y287" i="1" s="1"/>
  <c r="AC287" i="1" s="1"/>
  <c r="X401" i="1"/>
  <c r="Y401" i="1" s="1"/>
  <c r="AC401" i="1" s="1"/>
  <c r="X482" i="1"/>
  <c r="Y482" i="1" s="1"/>
  <c r="AC482" i="1" s="1"/>
  <c r="X544" i="1"/>
  <c r="Y544" i="1" s="1"/>
  <c r="AC544" i="1" s="1"/>
  <c r="X609" i="1"/>
  <c r="Y609" i="1" s="1"/>
  <c r="AC609" i="1" s="1"/>
  <c r="X657" i="1"/>
  <c r="Y657" i="1" s="1"/>
  <c r="AC657" i="1" s="1"/>
  <c r="X679" i="1"/>
  <c r="Y679" i="1" s="1"/>
  <c r="AC679" i="1" s="1"/>
  <c r="X712" i="1"/>
  <c r="Y712" i="1" s="1"/>
  <c r="AC712" i="1" s="1"/>
  <c r="X745" i="1"/>
  <c r="Y745" i="1" s="1"/>
  <c r="AC745" i="1" s="1"/>
  <c r="X781" i="1"/>
  <c r="Y781" i="1" s="1"/>
  <c r="AC781" i="1" s="1"/>
  <c r="X815" i="1"/>
  <c r="Y815" i="1" s="1"/>
  <c r="AC815" i="1" s="1"/>
  <c r="X237" i="1"/>
  <c r="Y237" i="1" s="1"/>
  <c r="AC237" i="1" s="1"/>
  <c r="X317" i="1"/>
  <c r="Y317" i="1" s="1"/>
  <c r="AC317" i="1" s="1"/>
  <c r="X369" i="1"/>
  <c r="Y369" i="1" s="1"/>
  <c r="AC369" i="1" s="1"/>
  <c r="X422" i="1"/>
  <c r="Y422" i="1" s="1"/>
  <c r="AC422" i="1" s="1"/>
  <c r="X458" i="1"/>
  <c r="Y458" i="1" s="1"/>
  <c r="AC458" i="1" s="1"/>
  <c r="X492" i="1"/>
  <c r="Y492" i="1" s="1"/>
  <c r="AC492" i="1" s="1"/>
  <c r="X526" i="1"/>
  <c r="Y526" i="1" s="1"/>
  <c r="AC526" i="1" s="1"/>
  <c r="X558" i="1"/>
  <c r="Y558" i="1" s="1"/>
  <c r="AC558" i="1" s="1"/>
  <c r="X595" i="1"/>
  <c r="Y595" i="1" s="1"/>
  <c r="AC595" i="1" s="1"/>
  <c r="X615" i="1"/>
  <c r="Y615" i="1" s="1"/>
  <c r="AC615" i="1" s="1"/>
  <c r="X211" i="1"/>
  <c r="Y211" i="1" s="1"/>
  <c r="AC211" i="1" s="1"/>
  <c r="X374" i="1"/>
  <c r="Y374" i="1" s="1"/>
  <c r="AC374" i="1" s="1"/>
  <c r="X459" i="1"/>
  <c r="Y459" i="1" s="1"/>
  <c r="AC459" i="1" s="1"/>
  <c r="X535" i="1"/>
  <c r="Y535" i="1" s="1"/>
  <c r="AC535" i="1" s="1"/>
  <c r="X571" i="1"/>
  <c r="Y571" i="1" s="1"/>
  <c r="AC571" i="1" s="1"/>
  <c r="X644" i="1"/>
  <c r="Y644" i="1" s="1"/>
  <c r="AC644" i="1" s="1"/>
  <c r="X716" i="1"/>
  <c r="Y716" i="1" s="1"/>
  <c r="AC716" i="1" s="1"/>
  <c r="X784" i="1"/>
  <c r="Y784" i="1" s="1"/>
  <c r="AC784" i="1" s="1"/>
  <c r="X605" i="1"/>
  <c r="Y605" i="1" s="1"/>
  <c r="AC605" i="1" s="1"/>
  <c r="X245" i="1"/>
  <c r="Y245" i="1" s="1"/>
  <c r="AC245" i="1" s="1"/>
  <c r="X323" i="1"/>
  <c r="Y323" i="1" s="1"/>
  <c r="AC323" i="1" s="1"/>
  <c r="X368" i="1"/>
  <c r="Y368" i="1" s="1"/>
  <c r="AC368" i="1" s="1"/>
  <c r="X384" i="1"/>
  <c r="Y384" i="1" s="1"/>
  <c r="AC384" i="1" s="1"/>
  <c r="X402" i="1"/>
  <c r="Y402" i="1" s="1"/>
  <c r="AC402" i="1" s="1"/>
  <c r="X421" i="1"/>
  <c r="Y421" i="1" s="1"/>
  <c r="AC421" i="1" s="1"/>
  <c r="X443" i="1"/>
  <c r="Y443" i="1" s="1"/>
  <c r="AC443" i="1" s="1"/>
  <c r="X461" i="1"/>
  <c r="Y461" i="1" s="1"/>
  <c r="AC461" i="1" s="1"/>
  <c r="X479" i="1"/>
  <c r="Y479" i="1" s="1"/>
  <c r="AC479" i="1" s="1"/>
  <c r="X495" i="1"/>
  <c r="Y495" i="1" s="1"/>
  <c r="AC495" i="1" s="1"/>
  <c r="X513" i="1"/>
  <c r="Y513" i="1" s="1"/>
  <c r="AC513" i="1" s="1"/>
  <c r="X529" i="1"/>
  <c r="Y529" i="1" s="1"/>
  <c r="AC529" i="1" s="1"/>
  <c r="X545" i="1"/>
  <c r="Y545" i="1" s="1"/>
  <c r="AC545" i="1" s="1"/>
  <c r="X561" i="1"/>
  <c r="Y561" i="1" s="1"/>
  <c r="AC561" i="1" s="1"/>
  <c r="X578" i="1"/>
  <c r="Y578" i="1" s="1"/>
  <c r="AC578" i="1" s="1"/>
  <c r="X594" i="1"/>
  <c r="Y594" i="1" s="1"/>
  <c r="AC594" i="1" s="1"/>
  <c r="X618" i="1"/>
  <c r="Y618" i="1" s="1"/>
  <c r="AC618" i="1" s="1"/>
  <c r="X634" i="1"/>
  <c r="Y634" i="1" s="1"/>
  <c r="AC634" i="1" s="1"/>
  <c r="X650" i="1"/>
  <c r="Y650" i="1" s="1"/>
  <c r="AC650" i="1" s="1"/>
  <c r="X668" i="1"/>
  <c r="Y668" i="1" s="1"/>
  <c r="AC668" i="1" s="1"/>
  <c r="X684" i="1"/>
  <c r="Y684" i="1" s="1"/>
  <c r="AC684" i="1" s="1"/>
  <c r="X700" i="1"/>
  <c r="Y700" i="1" s="1"/>
  <c r="AC700" i="1" s="1"/>
  <c r="X718" i="1"/>
  <c r="Y718" i="1" s="1"/>
  <c r="AC718" i="1" s="1"/>
  <c r="X734" i="1"/>
  <c r="Y734" i="1" s="1"/>
  <c r="AC734" i="1" s="1"/>
  <c r="X750" i="1"/>
  <c r="Y750" i="1" s="1"/>
  <c r="AC750" i="1" s="1"/>
  <c r="X768" i="1"/>
  <c r="Y768" i="1" s="1"/>
  <c r="AC768" i="1" s="1"/>
  <c r="X786" i="1"/>
  <c r="Y786" i="1" s="1"/>
  <c r="AC786" i="1" s="1"/>
  <c r="X808" i="1"/>
  <c r="Y808" i="1" s="1"/>
  <c r="AC808" i="1" s="1"/>
  <c r="X824" i="1"/>
  <c r="Y824" i="1" s="1"/>
  <c r="AC824" i="1" s="1"/>
  <c r="X856" i="1"/>
  <c r="Y856" i="1" s="1"/>
  <c r="AC856" i="1" s="1"/>
  <c r="X623" i="1"/>
  <c r="Y623" i="1" s="1"/>
  <c r="AC623" i="1" s="1"/>
  <c r="X639" i="1"/>
  <c r="Y639" i="1" s="1"/>
  <c r="AC639" i="1" s="1"/>
  <c r="X655" i="1"/>
  <c r="Y655" i="1" s="1"/>
  <c r="AC655" i="1" s="1"/>
  <c r="X677" i="1"/>
  <c r="Y677" i="1" s="1"/>
  <c r="AC677" i="1" s="1"/>
  <c r="X693" i="1"/>
  <c r="Y693" i="1" s="1"/>
  <c r="AC693" i="1" s="1"/>
  <c r="X710" i="1"/>
  <c r="Y710" i="1" s="1"/>
  <c r="AC710" i="1" s="1"/>
  <c r="X727" i="1"/>
  <c r="Y727" i="1" s="1"/>
  <c r="AC727" i="1" s="1"/>
  <c r="X743" i="1"/>
  <c r="Y743" i="1" s="1"/>
  <c r="AC743" i="1" s="1"/>
  <c r="X760" i="1"/>
  <c r="Y760" i="1" s="1"/>
  <c r="AC760" i="1" s="1"/>
  <c r="X783" i="1"/>
  <c r="Y783" i="1" s="1"/>
  <c r="AC783" i="1" s="1"/>
  <c r="X801" i="1"/>
  <c r="Y801" i="1" s="1"/>
  <c r="AC801" i="1" s="1"/>
  <c r="X817" i="1"/>
  <c r="Y817" i="1" s="1"/>
  <c r="AC817" i="1" s="1"/>
  <c r="X852" i="1"/>
  <c r="Y852" i="1" s="1"/>
  <c r="AC852" i="1" s="1"/>
  <c r="X286" i="1"/>
  <c r="Y286" i="1" s="1"/>
  <c r="AC286" i="1" s="1"/>
  <c r="X325" i="1"/>
  <c r="Y325" i="1" s="1"/>
  <c r="AC325" i="1" s="1"/>
  <c r="X378" i="1"/>
  <c r="Y378" i="1" s="1"/>
  <c r="AC378" i="1" s="1"/>
  <c r="X412" i="1"/>
  <c r="Y412" i="1" s="1"/>
  <c r="AC412" i="1" s="1"/>
  <c r="X454" i="1"/>
  <c r="Y454" i="1" s="1"/>
  <c r="AC454" i="1" s="1"/>
  <c r="X485" i="1"/>
  <c r="Y485" i="1" s="1"/>
  <c r="AC485" i="1" s="1"/>
  <c r="X515" i="1"/>
  <c r="Y515" i="1" s="1"/>
  <c r="AC515" i="1" s="1"/>
  <c r="X547" i="1"/>
  <c r="Y547" i="1" s="1"/>
  <c r="AC547" i="1" s="1"/>
  <c r="X576" i="1"/>
  <c r="Y576" i="1" s="1"/>
  <c r="AC576" i="1" s="1"/>
  <c r="X608" i="1"/>
  <c r="Y608" i="1" s="1"/>
  <c r="AC608" i="1" s="1"/>
  <c r="X640" i="1"/>
  <c r="Y640" i="1" s="1"/>
  <c r="AC640" i="1" s="1"/>
  <c r="X670" i="1"/>
  <c r="Y670" i="1" s="1"/>
  <c r="AC670" i="1" s="1"/>
  <c r="X702" i="1"/>
  <c r="Y702" i="1" s="1"/>
  <c r="AC702" i="1" s="1"/>
  <c r="X736" i="1"/>
  <c r="Y736" i="1" s="1"/>
  <c r="AC736" i="1" s="1"/>
  <c r="X771" i="1"/>
  <c r="Y771" i="1" s="1"/>
  <c r="AC771" i="1" s="1"/>
  <c r="X806" i="1"/>
  <c r="Y806" i="1" s="1"/>
  <c r="AC806" i="1" s="1"/>
  <c r="X834" i="1"/>
  <c r="Y834" i="1" s="1"/>
  <c r="AC834" i="1" s="1"/>
  <c r="X203" i="1"/>
  <c r="Y203" i="1" s="1"/>
  <c r="AC203" i="1" s="1"/>
  <c r="X304" i="1"/>
  <c r="Y304" i="1" s="1"/>
  <c r="AC304" i="1" s="1"/>
  <c r="X375" i="1"/>
  <c r="Y375" i="1" s="1"/>
  <c r="AC375" i="1" s="1"/>
  <c r="X409" i="1"/>
  <c r="Y409" i="1" s="1"/>
  <c r="AC409" i="1" s="1"/>
  <c r="X451" i="1"/>
  <c r="Y451" i="1" s="1"/>
  <c r="AC451" i="1" s="1"/>
  <c r="X490" i="1"/>
  <c r="Y490" i="1" s="1"/>
  <c r="AC490" i="1" s="1"/>
  <c r="X524" i="1"/>
  <c r="Y524" i="1" s="1"/>
  <c r="AC524" i="1" s="1"/>
  <c r="X552" i="1"/>
  <c r="Y552" i="1" s="1"/>
  <c r="AC552" i="1" s="1"/>
  <c r="X585" i="1"/>
  <c r="Y585" i="1" s="1"/>
  <c r="AC585" i="1" s="1"/>
  <c r="X617" i="1"/>
  <c r="Y617" i="1" s="1"/>
  <c r="AC617" i="1" s="1"/>
  <c r="X637" i="1"/>
  <c r="Y637" i="1" s="1"/>
  <c r="AC637" i="1" s="1"/>
  <c r="X667" i="1"/>
  <c r="Y667" i="1" s="1"/>
  <c r="AC667" i="1" s="1"/>
  <c r="X683" i="1"/>
  <c r="Y683" i="1" s="1"/>
  <c r="AC683" i="1" s="1"/>
  <c r="X699" i="1"/>
  <c r="Y699" i="1" s="1"/>
  <c r="AC699" i="1" s="1"/>
  <c r="X717" i="1"/>
  <c r="Y717" i="1" s="1"/>
  <c r="AC717" i="1" s="1"/>
  <c r="X733" i="1"/>
  <c r="Y733" i="1" s="1"/>
  <c r="AC733" i="1" s="1"/>
  <c r="X749" i="1"/>
  <c r="Y749" i="1" s="1"/>
  <c r="AC749" i="1" s="1"/>
  <c r="X767" i="1"/>
  <c r="Y767" i="1" s="1"/>
  <c r="AC767" i="1" s="1"/>
  <c r="X785" i="1"/>
  <c r="Y785" i="1" s="1"/>
  <c r="AC785" i="1" s="1"/>
  <c r="X803" i="1"/>
  <c r="Y803" i="1" s="1"/>
  <c r="AC803" i="1" s="1"/>
  <c r="X819" i="1"/>
  <c r="Y819" i="1" s="1"/>
  <c r="AC819" i="1" s="1"/>
  <c r="X855" i="1"/>
  <c r="Y855" i="1" s="1"/>
  <c r="AC855" i="1" s="1"/>
  <c r="X250" i="1"/>
  <c r="Y250" i="1" s="1"/>
  <c r="AC250" i="1" s="1"/>
  <c r="X285" i="1"/>
  <c r="Y285" i="1" s="1"/>
  <c r="AC285" i="1" s="1"/>
  <c r="X320" i="1"/>
  <c r="Y320" i="1" s="1"/>
  <c r="AC320" i="1" s="1"/>
  <c r="X334" i="1"/>
  <c r="Y334" i="1" s="1"/>
  <c r="AC334" i="1" s="1"/>
  <c r="X373" i="1"/>
  <c r="Y373" i="1" s="1"/>
  <c r="AC373" i="1" s="1"/>
  <c r="X389" i="1"/>
  <c r="Y389" i="1" s="1"/>
  <c r="AC389" i="1" s="1"/>
  <c r="X407" i="1"/>
  <c r="Y407" i="1" s="1"/>
  <c r="AC407" i="1" s="1"/>
  <c r="X431" i="1"/>
  <c r="Y431" i="1" s="1"/>
  <c r="AC431" i="1" s="1"/>
  <c r="X444" i="1"/>
  <c r="Y444" i="1" s="1"/>
  <c r="AC444" i="1" s="1"/>
  <c r="X463" i="1"/>
  <c r="Y463" i="1" s="1"/>
  <c r="AC463" i="1" s="1"/>
  <c r="X480" i="1"/>
  <c r="Y480" i="1" s="1"/>
  <c r="AC480" i="1" s="1"/>
  <c r="X496" i="1"/>
  <c r="Y496" i="1" s="1"/>
  <c r="AC496" i="1" s="1"/>
  <c r="X514" i="1"/>
  <c r="Y514" i="1" s="1"/>
  <c r="AC514" i="1" s="1"/>
  <c r="X530" i="1"/>
  <c r="Y530" i="1" s="1"/>
  <c r="AC530" i="1" s="1"/>
  <c r="X546" i="1"/>
  <c r="Y546" i="1" s="1"/>
  <c r="AC546" i="1" s="1"/>
  <c r="X562" i="1"/>
  <c r="Y562" i="1" s="1"/>
  <c r="AC562" i="1" s="1"/>
  <c r="X583" i="1"/>
  <c r="Y583" i="1" s="1"/>
  <c r="AC583" i="1" s="1"/>
  <c r="X599" i="1"/>
  <c r="Y599" i="1" s="1"/>
  <c r="AC599" i="1" s="1"/>
  <c r="X829" i="1"/>
  <c r="Y829" i="1" s="1"/>
  <c r="AC829" i="1" s="1"/>
  <c r="X244" i="1"/>
  <c r="Y244" i="1" s="1"/>
  <c r="AC244" i="1" s="1"/>
  <c r="X328" i="1"/>
  <c r="Y328" i="1" s="1"/>
  <c r="AC328" i="1" s="1"/>
  <c r="X382" i="1"/>
  <c r="Y382" i="1" s="1"/>
  <c r="AC382" i="1" s="1"/>
  <c r="X433" i="1"/>
  <c r="Y433" i="1" s="1"/>
  <c r="AC433" i="1" s="1"/>
  <c r="X468" i="1"/>
  <c r="Y468" i="1" s="1"/>
  <c r="AC468" i="1" s="1"/>
  <c r="X507" i="1"/>
  <c r="Y507" i="1" s="1"/>
  <c r="AC507" i="1" s="1"/>
  <c r="X543" i="1"/>
  <c r="Y543" i="1" s="1"/>
  <c r="AC543" i="1" s="1"/>
  <c r="X580" i="1"/>
  <c r="Y580" i="1" s="1"/>
  <c r="AC580" i="1" s="1"/>
  <c r="X616" i="1"/>
  <c r="Y616" i="1" s="1"/>
  <c r="AC616" i="1" s="1"/>
  <c r="X652" i="1"/>
  <c r="Y652" i="1" s="1"/>
  <c r="AC652" i="1" s="1"/>
  <c r="X690" i="1"/>
  <c r="Y690" i="1" s="1"/>
  <c r="AC690" i="1" s="1"/>
  <c r="X724" i="1"/>
  <c r="Y724" i="1" s="1"/>
  <c r="AC724" i="1" s="1"/>
  <c r="X757" i="1"/>
  <c r="Y757" i="1" s="1"/>
  <c r="AC757" i="1" s="1"/>
  <c r="X792" i="1"/>
  <c r="Y792" i="1" s="1"/>
  <c r="AC792" i="1" s="1"/>
  <c r="X826" i="1"/>
  <c r="Y826" i="1" s="1"/>
  <c r="AC826" i="1" s="1"/>
  <c r="X213" i="1"/>
  <c r="Y213" i="1" s="1"/>
  <c r="AC213" i="1" s="1"/>
  <c r="X315" i="1"/>
  <c r="Y315" i="1" s="1"/>
  <c r="AC315" i="1" s="1"/>
  <c r="X387" i="1"/>
  <c r="Y387" i="1" s="1"/>
  <c r="AC387" i="1" s="1"/>
  <c r="X434" i="1"/>
  <c r="Y434" i="1" s="1"/>
  <c r="AC434" i="1" s="1"/>
  <c r="X478" i="1"/>
  <c r="Y478" i="1" s="1"/>
  <c r="AC478" i="1" s="1"/>
  <c r="X512" i="1"/>
  <c r="Y512" i="1" s="1"/>
  <c r="AC512" i="1" s="1"/>
  <c r="X548" i="1"/>
  <c r="Y548" i="1" s="1"/>
  <c r="AC548" i="1" s="1"/>
  <c r="X581" i="1"/>
  <c r="Y581" i="1" s="1"/>
  <c r="AC581" i="1" s="1"/>
  <c r="X633" i="1"/>
  <c r="Y633" i="1" s="1"/>
  <c r="AC633" i="1" s="1"/>
  <c r="X214" i="1"/>
  <c r="Y214" i="1" s="1"/>
  <c r="AC214" i="1" s="1"/>
  <c r="X263" i="1"/>
  <c r="Y263" i="1" s="1"/>
  <c r="AC263" i="1" s="1"/>
  <c r="X333" i="1"/>
  <c r="Y333" i="1" s="1"/>
  <c r="AC333" i="1" s="1"/>
  <c r="X392" i="1"/>
  <c r="Y392" i="1" s="1"/>
  <c r="AC392" i="1" s="1"/>
  <c r="X435" i="1"/>
  <c r="Y435" i="1" s="1"/>
  <c r="AC435" i="1" s="1"/>
  <c r="X471" i="1"/>
  <c r="Y471" i="1" s="1"/>
  <c r="AC471" i="1" s="1"/>
  <c r="X505" i="1"/>
  <c r="Y505" i="1" s="1"/>
  <c r="AC505" i="1" s="1"/>
  <c r="X521" i="1"/>
  <c r="Y521" i="1" s="1"/>
  <c r="AC521" i="1" s="1"/>
  <c r="X553" i="1"/>
  <c r="Y553" i="1" s="1"/>
  <c r="AC553" i="1" s="1"/>
  <c r="X586" i="1"/>
  <c r="Y586" i="1" s="1"/>
  <c r="AC586" i="1" s="1"/>
  <c r="X626" i="1"/>
  <c r="Y626" i="1" s="1"/>
  <c r="AC626" i="1" s="1"/>
  <c r="X676" i="1"/>
  <c r="Y676" i="1" s="1"/>
  <c r="AC676" i="1" s="1"/>
  <c r="X709" i="1"/>
  <c r="Y709" i="1" s="1"/>
  <c r="AC709" i="1" s="1"/>
  <c r="X742" i="1"/>
  <c r="Y742" i="1" s="1"/>
  <c r="AC742" i="1" s="1"/>
  <c r="X777" i="1"/>
  <c r="Y777" i="1" s="1"/>
  <c r="AC777" i="1" s="1"/>
  <c r="X816" i="1"/>
  <c r="Y816" i="1" s="1"/>
  <c r="AC816" i="1" s="1"/>
  <c r="X631" i="1"/>
  <c r="Y631" i="1" s="1"/>
  <c r="AC631" i="1" s="1"/>
  <c r="X669" i="1"/>
  <c r="Y669" i="1" s="1"/>
  <c r="AC669" i="1" s="1"/>
  <c r="X701" i="1"/>
  <c r="Y701" i="1" s="1"/>
  <c r="AC701" i="1" s="1"/>
  <c r="X735" i="1"/>
  <c r="Y735" i="1" s="1"/>
  <c r="AC735" i="1" s="1"/>
  <c r="X751" i="1"/>
  <c r="Y751" i="1" s="1"/>
  <c r="AC751" i="1" s="1"/>
  <c r="X791" i="1"/>
  <c r="Y791" i="1" s="1"/>
  <c r="AC791" i="1" s="1"/>
  <c r="X825" i="1"/>
  <c r="Y825" i="1" s="1"/>
  <c r="AC825" i="1" s="1"/>
  <c r="X861" i="1"/>
  <c r="Y861" i="1" s="1"/>
  <c r="AC861" i="1" s="1"/>
  <c r="X314" i="1"/>
  <c r="Y314" i="1" s="1"/>
  <c r="AC314" i="1" s="1"/>
  <c r="X393" i="1"/>
  <c r="Y393" i="1" s="1"/>
  <c r="AC393" i="1" s="1"/>
  <c r="X473" i="1"/>
  <c r="Y473" i="1" s="1"/>
  <c r="AC473" i="1" s="1"/>
  <c r="X531" i="1"/>
  <c r="Y531" i="1" s="1"/>
  <c r="AC531" i="1" s="1"/>
  <c r="X592" i="1"/>
  <c r="Y592" i="1" s="1"/>
  <c r="AC592" i="1" s="1"/>
  <c r="X686" i="1"/>
  <c r="Y686" i="1" s="1"/>
  <c r="AC686" i="1" s="1"/>
  <c r="X752" i="1"/>
  <c r="Y752" i="1" s="1"/>
  <c r="AC752" i="1" s="1"/>
  <c r="X822" i="1"/>
  <c r="Y822" i="1" s="1"/>
  <c r="AC822" i="1" s="1"/>
  <c r="X391" i="1"/>
  <c r="Y391" i="1" s="1"/>
  <c r="AC391" i="1" s="1"/>
  <c r="X438" i="1"/>
  <c r="Y438" i="1" s="1"/>
  <c r="AC438" i="1" s="1"/>
  <c r="X536" i="1"/>
  <c r="Y536" i="1" s="1"/>
  <c r="AC536" i="1" s="1"/>
  <c r="X597" i="1"/>
  <c r="Y597" i="1" s="1"/>
  <c r="AC597" i="1" s="1"/>
  <c r="X649" i="1"/>
  <c r="Y649" i="1" s="1"/>
  <c r="AC649" i="1" s="1"/>
  <c r="X691" i="1"/>
  <c r="Y691" i="1" s="1"/>
  <c r="AC691" i="1" s="1"/>
  <c r="X741" i="1"/>
  <c r="Y741" i="1" s="1"/>
  <c r="AC741" i="1" s="1"/>
  <c r="X776" i="1"/>
  <c r="Y776" i="1" s="1"/>
  <c r="AC776" i="1" s="1"/>
  <c r="X811" i="1"/>
  <c r="Y811" i="1" s="1"/>
  <c r="AC811" i="1" s="1"/>
  <c r="X219" i="1"/>
  <c r="Y219" i="1" s="1"/>
  <c r="AC219" i="1" s="1"/>
  <c r="X313" i="1"/>
  <c r="Y313" i="1" s="1"/>
  <c r="AC313" i="1" s="1"/>
  <c r="X365" i="1"/>
  <c r="Y365" i="1" s="1"/>
  <c r="AC365" i="1" s="1"/>
  <c r="X398" i="1"/>
  <c r="Y398" i="1" s="1"/>
  <c r="AC398" i="1" s="1"/>
  <c r="X453" i="1"/>
  <c r="Y453" i="1" s="1"/>
  <c r="AC453" i="1" s="1"/>
  <c r="X488" i="1"/>
  <c r="Y488" i="1" s="1"/>
  <c r="AC488" i="1" s="1"/>
  <c r="X522" i="1"/>
  <c r="Y522" i="1" s="1"/>
  <c r="AC522" i="1" s="1"/>
  <c r="X554" i="1"/>
  <c r="Y554" i="1" s="1"/>
  <c r="AC554" i="1" s="1"/>
  <c r="X591" i="1"/>
  <c r="Y591" i="1" s="1"/>
  <c r="AC591" i="1" s="1"/>
  <c r="X366" i="1"/>
  <c r="Y366" i="1" s="1"/>
  <c r="AC366" i="1" s="1"/>
  <c r="X450" i="1"/>
  <c r="Y450" i="1" s="1"/>
  <c r="AC450" i="1" s="1"/>
  <c r="X527" i="1"/>
  <c r="Y527" i="1" s="1"/>
  <c r="AC527" i="1" s="1"/>
  <c r="X596" i="1"/>
  <c r="Y596" i="1" s="1"/>
  <c r="AC596" i="1" s="1"/>
  <c r="X674" i="1"/>
  <c r="Y674" i="1" s="1"/>
  <c r="AC674" i="1" s="1"/>
  <c r="X740" i="1"/>
  <c r="Y740" i="1" s="1"/>
  <c r="AC740" i="1" s="1"/>
  <c r="X810" i="1"/>
  <c r="Y810" i="1" s="1"/>
  <c r="AC810" i="1" s="1"/>
  <c r="X862" i="1"/>
  <c r="Y862" i="1" s="1"/>
  <c r="AC862" i="1" s="1"/>
  <c r="X279" i="1"/>
  <c r="Y279" i="1" s="1"/>
  <c r="AC279" i="1" s="1"/>
  <c r="X405" i="1"/>
  <c r="Y405" i="1" s="1"/>
  <c r="AC405" i="1" s="1"/>
  <c r="X494" i="1"/>
  <c r="Y494" i="1" s="1"/>
  <c r="AC494" i="1" s="1"/>
  <c r="X564" i="1"/>
  <c r="Y564" i="1" s="1"/>
  <c r="AC564" i="1" s="1"/>
  <c r="X653" i="1"/>
  <c r="Y653" i="1" s="1"/>
  <c r="AC653" i="1" s="1"/>
  <c r="X229" i="1"/>
  <c r="Y229" i="1" s="1"/>
  <c r="AC229" i="1" s="1"/>
  <c r="X364" i="1"/>
  <c r="Y364" i="1" s="1"/>
  <c r="AC364" i="1" s="1"/>
  <c r="X395" i="1"/>
  <c r="Y395" i="1" s="1"/>
  <c r="AC395" i="1" s="1"/>
  <c r="X439" i="1"/>
  <c r="Y439" i="1" s="1"/>
  <c r="AC439" i="1" s="1"/>
  <c r="X475" i="1"/>
  <c r="Y475" i="1" s="1"/>
  <c r="AC475" i="1" s="1"/>
  <c r="X509" i="1"/>
  <c r="Y509" i="1" s="1"/>
  <c r="AC509" i="1" s="1"/>
  <c r="X541" i="1"/>
  <c r="Y541" i="1" s="1"/>
  <c r="AC541" i="1" s="1"/>
  <c r="X590" i="1"/>
  <c r="Y590" i="1" s="1"/>
  <c r="AC590" i="1" s="1"/>
  <c r="X630" i="1"/>
  <c r="Y630" i="1" s="1"/>
  <c r="AC630" i="1" s="1"/>
  <c r="X662" i="1"/>
  <c r="Y662" i="1" s="1"/>
  <c r="AC662" i="1" s="1"/>
  <c r="X696" i="1"/>
  <c r="Y696" i="1" s="1"/>
  <c r="AC696" i="1" s="1"/>
  <c r="X730" i="1"/>
  <c r="Y730" i="1" s="1"/>
  <c r="AC730" i="1" s="1"/>
  <c r="X763" i="1"/>
  <c r="Y763" i="1" s="1"/>
  <c r="AC763" i="1" s="1"/>
  <c r="X804" i="1"/>
  <c r="Y804" i="1" s="1"/>
  <c r="AC804" i="1" s="1"/>
  <c r="X851" i="1"/>
  <c r="Y851" i="1" s="1"/>
  <c r="AC851" i="1" s="1"/>
  <c r="X635" i="1"/>
  <c r="Y635" i="1" s="1"/>
  <c r="AC635" i="1" s="1"/>
  <c r="X673" i="1"/>
  <c r="Y673" i="1" s="1"/>
  <c r="AC673" i="1" s="1"/>
  <c r="X705" i="1"/>
  <c r="Y705" i="1" s="1"/>
  <c r="AC705" i="1" s="1"/>
  <c r="X739" i="1"/>
  <c r="Y739" i="1" s="1"/>
  <c r="AC739" i="1" s="1"/>
  <c r="X796" i="1"/>
  <c r="Y796" i="1" s="1"/>
  <c r="AC796" i="1" s="1"/>
  <c r="X833" i="1"/>
  <c r="Y833" i="1" s="1"/>
  <c r="AC833" i="1" s="1"/>
  <c r="X321" i="1"/>
  <c r="Y321" i="1" s="1"/>
  <c r="AC321" i="1" s="1"/>
  <c r="X404" i="1"/>
  <c r="Y404" i="1" s="1"/>
  <c r="AC404" i="1" s="1"/>
  <c r="X477" i="1"/>
  <c r="Y477" i="1" s="1"/>
  <c r="AC477" i="1" s="1"/>
  <c r="X539" i="1"/>
  <c r="Y539" i="1" s="1"/>
  <c r="AC539" i="1" s="1"/>
  <c r="X600" i="1"/>
  <c r="Y600" i="1" s="1"/>
  <c r="AC600" i="1" s="1"/>
  <c r="X694" i="1"/>
  <c r="Y694" i="1" s="1"/>
  <c r="AC694" i="1" s="1"/>
  <c r="X728" i="1"/>
  <c r="Y728" i="1" s="1"/>
  <c r="AC728" i="1" s="1"/>
  <c r="X797" i="1"/>
  <c r="Y797" i="1" s="1"/>
  <c r="AC797" i="1" s="1"/>
  <c r="X367" i="1"/>
  <c r="Y367" i="1" s="1"/>
  <c r="AC367" i="1" s="1"/>
  <c r="X446" i="1"/>
  <c r="Y446" i="1" s="1"/>
  <c r="AC446" i="1" s="1"/>
  <c r="X516" i="1"/>
  <c r="Y516" i="1" s="1"/>
  <c r="AC516" i="1" s="1"/>
  <c r="X577" i="1"/>
  <c r="Y577" i="1" s="1"/>
  <c r="AC577" i="1" s="1"/>
  <c r="X629" i="1"/>
  <c r="Y629" i="1" s="1"/>
  <c r="AC629" i="1" s="1"/>
  <c r="X695" i="1"/>
  <c r="Y695" i="1" s="1"/>
  <c r="AC695" i="1" s="1"/>
  <c r="X729" i="1"/>
  <c r="Y729" i="1" s="1"/>
  <c r="AC729" i="1" s="1"/>
  <c r="X762" i="1"/>
  <c r="Y762" i="1" s="1"/>
  <c r="AC762" i="1" s="1"/>
  <c r="X799" i="1"/>
  <c r="Y799" i="1" s="1"/>
  <c r="AC799" i="1" s="1"/>
  <c r="X831" i="1"/>
  <c r="Y831" i="1" s="1"/>
  <c r="AC831" i="1" s="1"/>
  <c r="X274" i="1"/>
  <c r="Y274" i="1" s="1"/>
  <c r="AC274" i="1" s="1"/>
  <c r="X331" i="1"/>
  <c r="Y331" i="1" s="1"/>
  <c r="AC331" i="1" s="1"/>
  <c r="X385" i="1"/>
  <c r="Y385" i="1" s="1"/>
  <c r="AC385" i="1" s="1"/>
  <c r="X403" i="1"/>
  <c r="Y403" i="1" s="1"/>
  <c r="AC403" i="1" s="1"/>
  <c r="X440" i="1"/>
  <c r="Y440" i="1" s="1"/>
  <c r="AC440" i="1" s="1"/>
  <c r="X476" i="1"/>
  <c r="Y476" i="1" s="1"/>
  <c r="AC476" i="1" s="1"/>
  <c r="X510" i="1"/>
  <c r="Y510" i="1" s="1"/>
  <c r="AC510" i="1" s="1"/>
  <c r="X542" i="1"/>
  <c r="Y542" i="1" s="1"/>
  <c r="AC542" i="1" s="1"/>
  <c r="X579" i="1"/>
  <c r="Y579" i="1" s="1"/>
  <c r="AC579" i="1" s="1"/>
  <c r="X318" i="1"/>
  <c r="Y318" i="1" s="1"/>
  <c r="AC318" i="1" s="1"/>
  <c r="X408" i="1"/>
  <c r="Y408" i="1" s="1"/>
  <c r="AC408" i="1" s="1"/>
  <c r="X497" i="1"/>
  <c r="Y497" i="1" s="1"/>
  <c r="AC497" i="1" s="1"/>
  <c r="X604" i="1"/>
  <c r="Y604" i="1" s="1"/>
  <c r="AC604" i="1" s="1"/>
  <c r="X682" i="1"/>
  <c r="Y682" i="1" s="1"/>
  <c r="AC682" i="1" s="1"/>
  <c r="X748" i="1"/>
  <c r="Y748" i="1" s="1"/>
  <c r="AC748" i="1" s="1"/>
  <c r="X818" i="1"/>
  <c r="Y818" i="1" s="1"/>
  <c r="AC818" i="1" s="1"/>
  <c r="X293" i="1"/>
  <c r="Y293" i="1" s="1"/>
  <c r="AC293" i="1" s="1"/>
  <c r="X379" i="1"/>
  <c r="Y379" i="1" s="1"/>
  <c r="AC379" i="1" s="1"/>
  <c r="X414" i="1"/>
  <c r="Y414" i="1" s="1"/>
  <c r="AC414" i="1" s="1"/>
  <c r="X469" i="1"/>
  <c r="Y469" i="1" s="1"/>
  <c r="AC469" i="1" s="1"/>
  <c r="X503" i="1"/>
  <c r="Y503" i="1" s="1"/>
  <c r="AC503" i="1" s="1"/>
  <c r="X540" i="1"/>
  <c r="Y540" i="1" s="1"/>
  <c r="AC540" i="1" s="1"/>
  <c r="X572" i="1"/>
  <c r="Y572" i="1" s="1"/>
  <c r="AC572" i="1" s="1"/>
  <c r="X661" i="1"/>
  <c r="Y661" i="1" s="1"/>
  <c r="AC661" i="1" s="1"/>
  <c r="X204" i="1"/>
  <c r="Y204" i="1" s="1"/>
  <c r="AC204" i="1" s="1"/>
  <c r="X255" i="1"/>
  <c r="Y255" i="1" s="1"/>
  <c r="AC255" i="1" s="1"/>
  <c r="X312" i="1"/>
  <c r="Y312" i="1" s="1"/>
  <c r="AC312" i="1" s="1"/>
  <c r="X326" i="1"/>
  <c r="Y326" i="1" s="1"/>
  <c r="AC326" i="1" s="1"/>
  <c r="X372" i="1"/>
  <c r="Y372" i="1" s="1"/>
  <c r="AC372" i="1" s="1"/>
  <c r="X388" i="1"/>
  <c r="Y388" i="1" s="1"/>
  <c r="AC388" i="1" s="1"/>
  <c r="X406" i="1"/>
  <c r="Y406" i="1" s="1"/>
  <c r="AC406" i="1" s="1"/>
  <c r="X430" i="1"/>
  <c r="Y430" i="1" s="1"/>
  <c r="AC430" i="1" s="1"/>
  <c r="X448" i="1"/>
  <c r="Y448" i="1" s="1"/>
  <c r="AC448" i="1" s="1"/>
  <c r="X466" i="1"/>
  <c r="Y466" i="1" s="1"/>
  <c r="AC466" i="1" s="1"/>
  <c r="X483" i="1"/>
  <c r="Y483" i="1" s="1"/>
  <c r="AC483" i="1" s="1"/>
  <c r="X500" i="1"/>
  <c r="Y500" i="1" s="1"/>
  <c r="AC500" i="1" s="1"/>
  <c r="X517" i="1"/>
  <c r="Y517" i="1" s="1"/>
  <c r="AC517" i="1" s="1"/>
  <c r="X533" i="1"/>
  <c r="Y533" i="1" s="1"/>
  <c r="AC533" i="1" s="1"/>
  <c r="X549" i="1"/>
  <c r="Y549" i="1" s="1"/>
  <c r="AC549" i="1" s="1"/>
  <c r="X565" i="1"/>
  <c r="Y565" i="1" s="1"/>
  <c r="AC565" i="1" s="1"/>
  <c r="X582" i="1"/>
  <c r="Y582" i="1" s="1"/>
  <c r="AC582" i="1" s="1"/>
  <c r="X598" i="1"/>
  <c r="Y598" i="1" s="1"/>
  <c r="AC598" i="1" s="1"/>
  <c r="X622" i="1"/>
  <c r="Y622" i="1" s="1"/>
  <c r="AC622" i="1" s="1"/>
  <c r="X638" i="1"/>
  <c r="Y638" i="1" s="1"/>
  <c r="AC638" i="1" s="1"/>
  <c r="X654" i="1"/>
  <c r="Y654" i="1" s="1"/>
  <c r="AC654" i="1" s="1"/>
  <c r="X672" i="1"/>
  <c r="Y672" i="1" s="1"/>
  <c r="AC672" i="1" s="1"/>
  <c r="X688" i="1"/>
  <c r="Y688" i="1" s="1"/>
  <c r="AC688" i="1" s="1"/>
  <c r="X704" i="1"/>
  <c r="Y704" i="1" s="1"/>
  <c r="AC704" i="1" s="1"/>
  <c r="X722" i="1"/>
  <c r="Y722" i="1" s="1"/>
  <c r="AC722" i="1" s="1"/>
  <c r="X738" i="1"/>
  <c r="Y738" i="1" s="1"/>
  <c r="AC738" i="1" s="1"/>
  <c r="X755" i="1"/>
  <c r="Y755" i="1" s="1"/>
  <c r="AC755" i="1" s="1"/>
  <c r="X773" i="1"/>
  <c r="Y773" i="1" s="1"/>
  <c r="AC773" i="1" s="1"/>
  <c r="X790" i="1"/>
  <c r="Y790" i="1" s="1"/>
  <c r="AC790" i="1" s="1"/>
  <c r="X812" i="1"/>
  <c r="Y812" i="1" s="1"/>
  <c r="AC812" i="1" s="1"/>
  <c r="X828" i="1"/>
  <c r="Y828" i="1" s="1"/>
  <c r="AC828" i="1" s="1"/>
  <c r="X860" i="1"/>
  <c r="Y860" i="1" s="1"/>
  <c r="AC860" i="1" s="1"/>
  <c r="X627" i="1"/>
  <c r="Y627" i="1" s="1"/>
  <c r="AC627" i="1" s="1"/>
  <c r="X643" i="1"/>
  <c r="Y643" i="1" s="1"/>
  <c r="AC643" i="1" s="1"/>
  <c r="X659" i="1"/>
  <c r="Y659" i="1" s="1"/>
  <c r="AC659" i="1" s="1"/>
  <c r="X681" i="1"/>
  <c r="Y681" i="1" s="1"/>
  <c r="AC681" i="1" s="1"/>
  <c r="X697" i="1"/>
  <c r="Y697" i="1" s="1"/>
  <c r="AC697" i="1" s="1"/>
  <c r="X714" i="1"/>
  <c r="Y714" i="1" s="1"/>
  <c r="AC714" i="1" s="1"/>
  <c r="X731" i="1"/>
  <c r="Y731" i="1" s="1"/>
  <c r="AC731" i="1" s="1"/>
  <c r="X747" i="1"/>
  <c r="Y747" i="1" s="1"/>
  <c r="AC747" i="1" s="1"/>
  <c r="X765" i="1"/>
  <c r="Y765" i="1" s="1"/>
  <c r="AC765" i="1" s="1"/>
  <c r="X787" i="1"/>
  <c r="Y787" i="1" s="1"/>
  <c r="AC787" i="1" s="1"/>
  <c r="X805" i="1"/>
  <c r="Y805" i="1" s="1"/>
  <c r="AC805" i="1" s="1"/>
  <c r="X821" i="1"/>
  <c r="Y821" i="1" s="1"/>
  <c r="AC821" i="1" s="1"/>
  <c r="X857" i="1"/>
  <c r="Y857" i="1" s="1"/>
  <c r="AC857" i="1" s="1"/>
  <c r="X220" i="1"/>
  <c r="Y220" i="1" s="1"/>
  <c r="AC220" i="1" s="1"/>
  <c r="X301" i="1"/>
  <c r="Y301" i="1" s="1"/>
  <c r="AC301" i="1" s="1"/>
  <c r="X332" i="1"/>
  <c r="Y332" i="1" s="1"/>
  <c r="AC332" i="1" s="1"/>
  <c r="X386" i="1"/>
  <c r="X417" i="1"/>
  <c r="Y417" i="1" s="1"/>
  <c r="AC417" i="1" s="1"/>
  <c r="X464" i="1"/>
  <c r="Y464" i="1" s="1"/>
  <c r="AC464" i="1" s="1"/>
  <c r="X493" i="1"/>
  <c r="Y493" i="1" s="1"/>
  <c r="AC493" i="1" s="1"/>
  <c r="X523" i="1"/>
  <c r="Y523" i="1" s="1"/>
  <c r="AC523" i="1" s="1"/>
  <c r="X555" i="1"/>
  <c r="Y555" i="1" s="1"/>
  <c r="AC555" i="1" s="1"/>
  <c r="X584" i="1"/>
  <c r="Y584" i="1" s="1"/>
  <c r="AC584" i="1" s="1"/>
  <c r="X620" i="1"/>
  <c r="Y620" i="1" s="1"/>
  <c r="AC620" i="1" s="1"/>
  <c r="X648" i="1"/>
  <c r="Y648" i="1" s="1"/>
  <c r="AC648" i="1" s="1"/>
  <c r="X678" i="1"/>
  <c r="Y678" i="1" s="1"/>
  <c r="AC678" i="1" s="1"/>
  <c r="X711" i="1"/>
  <c r="Y711" i="1" s="1"/>
  <c r="AC711" i="1" s="1"/>
  <c r="X744" i="1"/>
  <c r="Y744" i="1" s="1"/>
  <c r="AC744" i="1" s="1"/>
  <c r="X780" i="1"/>
  <c r="Y780" i="1" s="1"/>
  <c r="AC780" i="1" s="1"/>
  <c r="X814" i="1"/>
  <c r="Y814" i="1" s="1"/>
  <c r="AC814" i="1" s="1"/>
  <c r="X858" i="1"/>
  <c r="Y858" i="1" s="1"/>
  <c r="AC858" i="1" s="1"/>
  <c r="X225" i="1"/>
  <c r="Y225" i="1" s="1"/>
  <c r="AC225" i="1" s="1"/>
  <c r="X311" i="1"/>
  <c r="Y311" i="1" s="1"/>
  <c r="AC311" i="1" s="1"/>
  <c r="X383" i="1"/>
  <c r="Y383" i="1" s="1"/>
  <c r="AC383" i="1" s="1"/>
  <c r="X420" i="1"/>
  <c r="Y420" i="1" s="1"/>
  <c r="AC420" i="1" s="1"/>
  <c r="X465" i="1"/>
  <c r="Y465" i="1" s="1"/>
  <c r="AC465" i="1" s="1"/>
  <c r="X498" i="1"/>
  <c r="Y498" i="1" s="1"/>
  <c r="AC498" i="1" s="1"/>
  <c r="X532" i="1"/>
  <c r="Y532" i="1" s="1"/>
  <c r="AC532" i="1" s="1"/>
  <c r="X560" i="1"/>
  <c r="Y560" i="1" s="1"/>
  <c r="AC560" i="1" s="1"/>
  <c r="X593" i="1"/>
  <c r="Y593" i="1" s="1"/>
  <c r="AC593" i="1" s="1"/>
  <c r="X621" i="1"/>
  <c r="Y621" i="1" s="1"/>
  <c r="AC621" i="1" s="1"/>
  <c r="X641" i="1"/>
  <c r="Y641" i="1" s="1"/>
  <c r="AC641" i="1" s="1"/>
  <c r="X671" i="1"/>
  <c r="Y671" i="1" s="1"/>
  <c r="AC671" i="1" s="1"/>
  <c r="X687" i="1"/>
  <c r="Y687" i="1" s="1"/>
  <c r="AC687" i="1" s="1"/>
  <c r="X703" i="1"/>
  <c r="Y703" i="1" s="1"/>
  <c r="AC703" i="1" s="1"/>
  <c r="X721" i="1"/>
  <c r="Y721" i="1" s="1"/>
  <c r="AC721" i="1" s="1"/>
  <c r="X737" i="1"/>
  <c r="Y737" i="1" s="1"/>
  <c r="AC737" i="1" s="1"/>
  <c r="X753" i="1"/>
  <c r="Y753" i="1" s="1"/>
  <c r="AC753" i="1" s="1"/>
  <c r="X772" i="1"/>
  <c r="Y772" i="1" s="1"/>
  <c r="AC772" i="1" s="1"/>
  <c r="X789" i="1"/>
  <c r="Y789" i="1" s="1"/>
  <c r="AC789" i="1" s="1"/>
  <c r="X807" i="1"/>
  <c r="Y807" i="1" s="1"/>
  <c r="AC807" i="1" s="1"/>
  <c r="X823" i="1"/>
  <c r="Y823" i="1" s="1"/>
  <c r="AC823" i="1" s="1"/>
  <c r="X859" i="1"/>
  <c r="Y859" i="1" s="1"/>
  <c r="AC859" i="1" s="1"/>
  <c r="X257" i="1"/>
  <c r="Y257" i="1" s="1"/>
  <c r="AC257" i="1" s="1"/>
  <c r="X292" i="1"/>
  <c r="Y292" i="1" s="1"/>
  <c r="AC292" i="1" s="1"/>
  <c r="X324" i="1"/>
  <c r="Y324" i="1" s="1"/>
  <c r="AC324" i="1" s="1"/>
  <c r="X361" i="1"/>
  <c r="Y361" i="1" s="1"/>
  <c r="AC361" i="1" s="1"/>
  <c r="X377" i="1"/>
  <c r="Y377" i="1" s="1"/>
  <c r="AC377" i="1" s="1"/>
  <c r="X411" i="1"/>
  <c r="Y411" i="1" s="1"/>
  <c r="AC411" i="1" s="1"/>
  <c r="X432" i="1"/>
  <c r="Y432" i="1" s="1"/>
  <c r="AC432" i="1" s="1"/>
  <c r="X449" i="1"/>
  <c r="Y449" i="1" s="1"/>
  <c r="AC449" i="1" s="1"/>
  <c r="X467" i="1"/>
  <c r="Y467" i="1" s="1"/>
  <c r="AC467" i="1" s="1"/>
  <c r="X484" i="1"/>
  <c r="Y484" i="1" s="1"/>
  <c r="AC484" i="1" s="1"/>
  <c r="X501" i="1"/>
  <c r="Y501" i="1" s="1"/>
  <c r="AC501" i="1" s="1"/>
  <c r="X518" i="1"/>
  <c r="Y518" i="1" s="1"/>
  <c r="AC518" i="1" s="1"/>
  <c r="X534" i="1"/>
  <c r="Y534" i="1" s="1"/>
  <c r="AC534" i="1" s="1"/>
  <c r="X550" i="1"/>
  <c r="Y550" i="1" s="1"/>
  <c r="AC550" i="1" s="1"/>
  <c r="X566" i="1"/>
  <c r="Y566" i="1" s="1"/>
  <c r="AC566" i="1" s="1"/>
  <c r="X587" i="1"/>
  <c r="Y587" i="1" s="1"/>
  <c r="AC587" i="1" s="1"/>
  <c r="X603" i="1"/>
  <c r="Y603" i="1" s="1"/>
  <c r="AC603" i="1" s="1"/>
  <c r="X260" i="1"/>
  <c r="Y260" i="1" s="1"/>
  <c r="AC260" i="1" s="1"/>
  <c r="X335" i="1"/>
  <c r="Y335" i="1" s="1"/>
  <c r="AC335" i="1" s="1"/>
  <c r="X390" i="1"/>
  <c r="Y390" i="1" s="1"/>
  <c r="AC390" i="1" s="1"/>
  <c r="X441" i="1"/>
  <c r="Y441" i="1" s="1"/>
  <c r="AC441" i="1" s="1"/>
  <c r="X481" i="1"/>
  <c r="Y481" i="1" s="1"/>
  <c r="AC481" i="1" s="1"/>
  <c r="X519" i="1"/>
  <c r="Y519" i="1" s="1"/>
  <c r="AC519" i="1" s="1"/>
  <c r="X551" i="1"/>
  <c r="Y551" i="1" s="1"/>
  <c r="AC551" i="1" s="1"/>
  <c r="X588" i="1"/>
  <c r="Y588" i="1" s="1"/>
  <c r="AC588" i="1" s="1"/>
  <c r="X628" i="1"/>
  <c r="Y628" i="1" s="1"/>
  <c r="AC628" i="1" s="1"/>
  <c r="X666" i="1"/>
  <c r="Y666" i="1" s="1"/>
  <c r="AC666" i="1" s="1"/>
  <c r="X698" i="1"/>
  <c r="Y698" i="1" s="1"/>
  <c r="AC698" i="1" s="1"/>
  <c r="X732" i="1"/>
  <c r="Y732" i="1" s="1"/>
  <c r="AC732" i="1" s="1"/>
  <c r="X766" i="1"/>
  <c r="Y766" i="1" s="1"/>
  <c r="AC766" i="1" s="1"/>
  <c r="X802" i="1"/>
  <c r="Y802" i="1" s="1"/>
  <c r="AC802" i="1" s="1"/>
  <c r="X854" i="1"/>
  <c r="Y854" i="1" s="1"/>
  <c r="AC854" i="1" s="1"/>
  <c r="X261" i="1"/>
  <c r="Y261" i="1" s="1"/>
  <c r="AC261" i="1" s="1"/>
  <c r="X322" i="1"/>
  <c r="Y322" i="1" s="1"/>
  <c r="AC322" i="1" s="1"/>
  <c r="X394" i="1"/>
  <c r="Y394" i="1" s="1"/>
  <c r="AC394" i="1" s="1"/>
  <c r="X442" i="1"/>
  <c r="Y442" i="1" s="1"/>
  <c r="AC442" i="1" s="1"/>
  <c r="X486" i="1"/>
  <c r="Y486" i="1" s="1"/>
  <c r="AC486" i="1" s="1"/>
  <c r="X520" i="1"/>
  <c r="Y520" i="1" s="1"/>
  <c r="AC520" i="1" s="1"/>
  <c r="X556" i="1"/>
  <c r="Y556" i="1" s="1"/>
  <c r="AC556" i="1" s="1"/>
  <c r="X589" i="1"/>
  <c r="Y589" i="1" s="1"/>
  <c r="AC589" i="1" s="1"/>
  <c r="X645" i="1"/>
  <c r="Y645" i="1" s="1"/>
  <c r="AC645" i="1" s="1"/>
  <c r="X291" i="1"/>
  <c r="Y291" i="1" s="1"/>
  <c r="AC291" i="1" s="1"/>
  <c r="W251" i="1"/>
  <c r="W209" i="1"/>
  <c r="W288" i="1"/>
  <c r="W769" i="1"/>
  <c r="W241" i="1"/>
  <c r="W222" i="1"/>
  <c r="W268" i="1"/>
  <c r="W134" i="1"/>
  <c r="X134" i="1" s="1"/>
  <c r="Y134" i="1" s="1"/>
  <c r="AC134" i="1" s="1"/>
  <c r="W202" i="1"/>
  <c r="W270" i="1"/>
  <c r="W198" i="1"/>
  <c r="W715" i="1"/>
  <c r="W754" i="1"/>
  <c r="W281" i="1"/>
  <c r="W199" i="1"/>
  <c r="W283" i="1"/>
  <c r="W171" i="1"/>
  <c r="X171" i="1" s="1"/>
  <c r="Y171" i="1" s="1"/>
  <c r="AC171" i="1" s="1"/>
  <c r="J226" i="1"/>
  <c r="U226" i="1" s="1"/>
  <c r="V226" i="1" s="1"/>
  <c r="U206" i="1"/>
  <c r="V206" i="1" s="1"/>
  <c r="J247" i="1"/>
  <c r="U247" i="1" s="1"/>
  <c r="V247" i="1" s="1"/>
  <c r="U146" i="1"/>
  <c r="V146" i="1" s="1"/>
  <c r="U329" i="1"/>
  <c r="V329" i="1" s="1"/>
  <c r="U663" i="1"/>
  <c r="V663" i="1" s="1"/>
  <c r="I102" i="1"/>
  <c r="J102" i="1" s="1"/>
  <c r="U102" i="1" s="1"/>
  <c r="V102" i="1" s="1"/>
  <c r="Y386" i="1" l="1"/>
  <c r="AC386" i="1" s="1"/>
  <c r="AC835" i="1"/>
  <c r="AC794" i="1"/>
  <c r="AC610" i="1"/>
  <c r="X251" i="1"/>
  <c r="Y251" i="1" s="1"/>
  <c r="AC251" i="1" s="1"/>
  <c r="X199" i="1"/>
  <c r="Y199" i="1" s="1"/>
  <c r="AC199" i="1" s="1"/>
  <c r="X198" i="1"/>
  <c r="Y198" i="1" s="1"/>
  <c r="AC198" i="1" s="1"/>
  <c r="X268" i="1"/>
  <c r="Y268" i="1" s="1"/>
  <c r="AC268" i="1" s="1"/>
  <c r="X288" i="1"/>
  <c r="Y288" i="1" s="1"/>
  <c r="AC288" i="1" s="1"/>
  <c r="AC880" i="1"/>
  <c r="X281" i="1"/>
  <c r="Y281" i="1" s="1"/>
  <c r="AC281" i="1" s="1"/>
  <c r="X270" i="1"/>
  <c r="Y270" i="1" s="1"/>
  <c r="AC270" i="1" s="1"/>
  <c r="X222" i="1"/>
  <c r="Y222" i="1" s="1"/>
  <c r="AC222" i="1" s="1"/>
  <c r="X209" i="1"/>
  <c r="Y209" i="1" s="1"/>
  <c r="AC209" i="1" s="1"/>
  <c r="X754" i="1"/>
  <c r="Y754" i="1" s="1"/>
  <c r="AC754" i="1" s="1"/>
  <c r="X202" i="1"/>
  <c r="Y202" i="1" s="1"/>
  <c r="AC202" i="1" s="1"/>
  <c r="X241" i="1"/>
  <c r="Y241" i="1" s="1"/>
  <c r="AC241" i="1" s="1"/>
  <c r="X283" i="1"/>
  <c r="Y283" i="1" s="1"/>
  <c r="AC283" i="1" s="1"/>
  <c r="X715" i="1"/>
  <c r="Y715" i="1" s="1"/>
  <c r="AC715" i="1" s="1"/>
  <c r="X769" i="1"/>
  <c r="Y769" i="1" s="1"/>
  <c r="AC769" i="1" s="1"/>
  <c r="W102" i="1"/>
  <c r="X102" i="1" s="1"/>
  <c r="Y102" i="1" s="1"/>
  <c r="AC102" i="1" s="1"/>
  <c r="W247" i="1"/>
  <c r="W663" i="1"/>
  <c r="W206" i="1"/>
  <c r="W329" i="1"/>
  <c r="W226" i="1"/>
  <c r="W146" i="1"/>
  <c r="X146" i="1" s="1"/>
  <c r="Y146" i="1" s="1"/>
  <c r="AC146" i="1" s="1"/>
  <c r="I153" i="1"/>
  <c r="J153" i="1" s="1"/>
  <c r="U153" i="1" s="1"/>
  <c r="V153" i="1" s="1"/>
  <c r="I83" i="1"/>
  <c r="J83" i="1" s="1"/>
  <c r="U83" i="1" s="1"/>
  <c r="V83" i="1" s="1"/>
  <c r="W83" i="1" s="1"/>
  <c r="X83" i="1" s="1"/>
  <c r="Y83" i="1" s="1"/>
  <c r="AC83" i="1" s="1"/>
  <c r="I216" i="1"/>
  <c r="AC778" i="1" l="1"/>
  <c r="X663" i="1"/>
  <c r="Y663" i="1" s="1"/>
  <c r="AC663" i="1" s="1"/>
  <c r="AC664" i="1" s="1"/>
  <c r="X226" i="1"/>
  <c r="Y226" i="1" s="1"/>
  <c r="AC226" i="1" s="1"/>
  <c r="X247" i="1"/>
  <c r="Y247" i="1" s="1"/>
  <c r="AC247" i="1" s="1"/>
  <c r="X329" i="1"/>
  <c r="Y329" i="1" s="1"/>
  <c r="X206" i="1"/>
  <c r="Y206" i="1" s="1"/>
  <c r="AC206" i="1" s="1"/>
  <c r="W153" i="1"/>
  <c r="X153" i="1" s="1"/>
  <c r="Y153" i="1" s="1"/>
  <c r="AC153" i="1" s="1"/>
  <c r="J216" i="1"/>
  <c r="U216" i="1" s="1"/>
  <c r="V216" i="1" s="1"/>
  <c r="I176" i="1"/>
  <c r="J176" i="1" s="1"/>
  <c r="U176" i="1" s="1"/>
  <c r="V176" i="1" s="1"/>
  <c r="I232" i="1"/>
  <c r="J232" i="1" s="1"/>
  <c r="U232" i="1" s="1"/>
  <c r="V232" i="1" s="1"/>
  <c r="AC329" i="1" l="1"/>
  <c r="AC337" i="1" s="1"/>
  <c r="W232" i="1"/>
  <c r="W176" i="1"/>
  <c r="X176" i="1" s="1"/>
  <c r="Y176" i="1" s="1"/>
  <c r="AC176" i="1" s="1"/>
  <c r="W216" i="1"/>
  <c r="H18" i="1"/>
  <c r="J18" i="1" s="1"/>
  <c r="U18" i="1" s="1"/>
  <c r="V18" i="1" s="1"/>
  <c r="W18" i="1" s="1"/>
  <c r="X18" i="1" s="1"/>
  <c r="Y18" i="1" s="1"/>
  <c r="AC18" i="1" s="1"/>
  <c r="X216" i="1" l="1"/>
  <c r="Y216" i="1" s="1"/>
  <c r="AC216" i="1" s="1"/>
  <c r="X232" i="1"/>
  <c r="Y232" i="1" s="1"/>
  <c r="AC232" i="1" s="1"/>
  <c r="AB661" i="1"/>
  <c r="H504" i="1" l="1"/>
  <c r="J504" i="1" s="1"/>
  <c r="U504" i="1" s="1"/>
  <c r="V504" i="1" s="1"/>
  <c r="H499" i="1"/>
  <c r="J499" i="1" s="1"/>
  <c r="U499" i="1" s="1"/>
  <c r="V499" i="1" s="1"/>
  <c r="H470" i="1"/>
  <c r="J470" i="1" s="1"/>
  <c r="U470" i="1" s="1"/>
  <c r="V470" i="1" s="1"/>
  <c r="H462" i="1"/>
  <c r="J462" i="1" s="1"/>
  <c r="U462" i="1" s="1"/>
  <c r="V462" i="1" s="1"/>
  <c r="W462" i="1" l="1"/>
  <c r="W470" i="1"/>
  <c r="W499" i="1"/>
  <c r="W504" i="1"/>
  <c r="H447" i="1"/>
  <c r="J447" i="1" s="1"/>
  <c r="U447" i="1" s="1"/>
  <c r="V447" i="1" s="1"/>
  <c r="H419" i="1"/>
  <c r="J419" i="1" s="1"/>
  <c r="U419" i="1" s="1"/>
  <c r="V419" i="1" s="1"/>
  <c r="H418" i="1"/>
  <c r="J418" i="1" s="1"/>
  <c r="U418" i="1" s="1"/>
  <c r="V418" i="1" s="1"/>
  <c r="H399" i="1"/>
  <c r="J399" i="1" s="1"/>
  <c r="U399" i="1" s="1"/>
  <c r="V399" i="1" s="1"/>
  <c r="H397" i="1"/>
  <c r="J397" i="1" s="1"/>
  <c r="U397" i="1" s="1"/>
  <c r="V397" i="1" s="1"/>
  <c r="H396" i="1"/>
  <c r="J396" i="1" s="1"/>
  <c r="U396" i="1" s="1"/>
  <c r="V396" i="1" s="1"/>
  <c r="H303" i="1"/>
  <c r="J303" i="1" s="1"/>
  <c r="U303" i="1" s="1"/>
  <c r="V303" i="1" s="1"/>
  <c r="H302" i="1"/>
  <c r="J302" i="1" s="1"/>
  <c r="U302" i="1" s="1"/>
  <c r="V302" i="1" s="1"/>
  <c r="H299" i="1"/>
  <c r="J299" i="1" s="1"/>
  <c r="U299" i="1" s="1"/>
  <c r="V299" i="1" s="1"/>
  <c r="H294" i="1"/>
  <c r="J294" i="1" s="1"/>
  <c r="U294" i="1" s="1"/>
  <c r="V294" i="1" s="1"/>
  <c r="H240" i="1"/>
  <c r="J240" i="1" s="1"/>
  <c r="U240" i="1" s="1"/>
  <c r="V240" i="1" s="1"/>
  <c r="H278" i="1"/>
  <c r="J278" i="1" s="1"/>
  <c r="U278" i="1" s="1"/>
  <c r="V278" i="1" s="1"/>
  <c r="H264" i="1"/>
  <c r="J264" i="1" s="1"/>
  <c r="U264" i="1" s="1"/>
  <c r="V264" i="1" s="1"/>
  <c r="H259" i="1"/>
  <c r="J259" i="1" s="1"/>
  <c r="U259" i="1" s="1"/>
  <c r="V259" i="1" s="1"/>
  <c r="H275" i="1"/>
  <c r="J275" i="1" s="1"/>
  <c r="U275" i="1" s="1"/>
  <c r="V275" i="1" s="1"/>
  <c r="H234" i="1"/>
  <c r="J234" i="1" s="1"/>
  <c r="U234" i="1" s="1"/>
  <c r="V234" i="1" s="1"/>
  <c r="H233" i="1"/>
  <c r="J233" i="1" s="1"/>
  <c r="U233" i="1" s="1"/>
  <c r="V233" i="1" s="1"/>
  <c r="H195" i="1"/>
  <c r="H172" i="1"/>
  <c r="J172" i="1" s="1"/>
  <c r="U172" i="1" s="1"/>
  <c r="V172" i="1" s="1"/>
  <c r="H158" i="1"/>
  <c r="J158" i="1" s="1"/>
  <c r="U158" i="1" s="1"/>
  <c r="V158" i="1" s="1"/>
  <c r="W158" i="1" s="1"/>
  <c r="X158" i="1" s="1"/>
  <c r="Y158" i="1" s="1"/>
  <c r="H136" i="1"/>
  <c r="J136" i="1" s="1"/>
  <c r="U136" i="1" s="1"/>
  <c r="V136" i="1" s="1"/>
  <c r="H106" i="1"/>
  <c r="J106" i="1" s="1"/>
  <c r="U106" i="1" s="1"/>
  <c r="V106" i="1" s="1"/>
  <c r="H90" i="1"/>
  <c r="J90" i="1" s="1"/>
  <c r="U90" i="1" s="1"/>
  <c r="V90" i="1" s="1"/>
  <c r="W90" i="1" s="1"/>
  <c r="X90" i="1" s="1"/>
  <c r="Y90" i="1" s="1"/>
  <c r="AC90" i="1" s="1"/>
  <c r="H74" i="1"/>
  <c r="J74" i="1" s="1"/>
  <c r="U74" i="1" s="1"/>
  <c r="V74" i="1" s="1"/>
  <c r="W74" i="1" s="1"/>
  <c r="X74" i="1" s="1"/>
  <c r="Y74" i="1" s="1"/>
  <c r="AC74" i="1" s="1"/>
  <c r="H70" i="1"/>
  <c r="J70" i="1" s="1"/>
  <c r="U70" i="1" s="1"/>
  <c r="V70" i="1" s="1"/>
  <c r="W70" i="1" s="1"/>
  <c r="X70" i="1" s="1"/>
  <c r="Y70" i="1" s="1"/>
  <c r="AC70" i="1" s="1"/>
  <c r="H60" i="1"/>
  <c r="J60" i="1" s="1"/>
  <c r="U60" i="1" s="1"/>
  <c r="V60" i="1" s="1"/>
  <c r="W60" i="1" s="1"/>
  <c r="X60" i="1" s="1"/>
  <c r="Y60" i="1" s="1"/>
  <c r="AC60" i="1" s="1"/>
  <c r="H32" i="1"/>
  <c r="J32" i="1" s="1"/>
  <c r="U32" i="1" s="1"/>
  <c r="V32" i="1" s="1"/>
  <c r="W32" i="1" s="1"/>
  <c r="X32" i="1" s="1"/>
  <c r="Y32" i="1" s="1"/>
  <c r="AC32" i="1" s="1"/>
  <c r="H30" i="1"/>
  <c r="J30" i="1" s="1"/>
  <c r="U30" i="1" s="1"/>
  <c r="V30" i="1" s="1"/>
  <c r="W30" i="1" s="1"/>
  <c r="X30" i="1" s="1"/>
  <c r="Y30" i="1" s="1"/>
  <c r="AC30" i="1" s="1"/>
  <c r="H28" i="1"/>
  <c r="J28" i="1" s="1"/>
  <c r="U28" i="1" s="1"/>
  <c r="V28" i="1" s="1"/>
  <c r="W28" i="1" s="1"/>
  <c r="X28" i="1" s="1"/>
  <c r="Y28" i="1" s="1"/>
  <c r="AC28" i="1" s="1"/>
  <c r="J195" i="1" l="1"/>
  <c r="U195" i="1" s="1"/>
  <c r="V195" i="1" s="1"/>
  <c r="W195" i="1" s="1"/>
  <c r="X195" i="1" s="1"/>
  <c r="Y195" i="1" s="1"/>
  <c r="AC195" i="1" s="1"/>
  <c r="U295" i="1"/>
  <c r="V295" i="1" s="1"/>
  <c r="W295" i="1" s="1"/>
  <c r="X504" i="1"/>
  <c r="Y504" i="1" s="1"/>
  <c r="AC504" i="1" s="1"/>
  <c r="X499" i="1"/>
  <c r="Y499" i="1" s="1"/>
  <c r="AC499" i="1" s="1"/>
  <c r="X470" i="1"/>
  <c r="Y470" i="1" s="1"/>
  <c r="AC470" i="1" s="1"/>
  <c r="X462" i="1"/>
  <c r="Y462" i="1" s="1"/>
  <c r="AC462" i="1" s="1"/>
  <c r="W294" i="1"/>
  <c r="W418" i="1"/>
  <c r="W233" i="1"/>
  <c r="W396" i="1"/>
  <c r="W234" i="1"/>
  <c r="W278" i="1"/>
  <c r="W299" i="1"/>
  <c r="W397" i="1"/>
  <c r="W447" i="1"/>
  <c r="W106" i="1"/>
  <c r="X106" i="1" s="1"/>
  <c r="Y106" i="1" s="1"/>
  <c r="AC106" i="1" s="1"/>
  <c r="W259" i="1"/>
  <c r="W303" i="1"/>
  <c r="W136" i="1"/>
  <c r="X136" i="1" s="1"/>
  <c r="Y136" i="1" s="1"/>
  <c r="AC136" i="1" s="1"/>
  <c r="W264" i="1"/>
  <c r="W419" i="1"/>
  <c r="W172" i="1"/>
  <c r="X172" i="1" s="1"/>
  <c r="Y172" i="1" s="1"/>
  <c r="AC172" i="1" s="1"/>
  <c r="W275" i="1"/>
  <c r="W240" i="1"/>
  <c r="W302" i="1"/>
  <c r="W399" i="1"/>
  <c r="AB443" i="1"/>
  <c r="AB706" i="1"/>
  <c r="AB748" i="1"/>
  <c r="AC574" i="1" l="1"/>
  <c r="X399" i="1"/>
  <c r="Y399" i="1" s="1"/>
  <c r="AC399" i="1" s="1"/>
  <c r="X303" i="1"/>
  <c r="Y303" i="1" s="1"/>
  <c r="AC303" i="1" s="1"/>
  <c r="X397" i="1"/>
  <c r="Y397" i="1" s="1"/>
  <c r="AC397" i="1" s="1"/>
  <c r="X396" i="1"/>
  <c r="Y396" i="1" s="1"/>
  <c r="AC396" i="1" s="1"/>
  <c r="X294" i="1"/>
  <c r="Y294" i="1" s="1"/>
  <c r="AC294" i="1" s="1"/>
  <c r="X302" i="1"/>
  <c r="Y302" i="1" s="1"/>
  <c r="AC302" i="1" s="1"/>
  <c r="X419" i="1"/>
  <c r="Y419" i="1" s="1"/>
  <c r="AC419" i="1" s="1"/>
  <c r="X259" i="1"/>
  <c r="Y259" i="1" s="1"/>
  <c r="AC259" i="1" s="1"/>
  <c r="X299" i="1"/>
  <c r="Y299" i="1" s="1"/>
  <c r="AC299" i="1" s="1"/>
  <c r="X295" i="1"/>
  <c r="Y295" i="1" s="1"/>
  <c r="AC295" i="1" s="1"/>
  <c r="X240" i="1"/>
  <c r="Y240" i="1" s="1"/>
  <c r="AC240" i="1" s="1"/>
  <c r="X264" i="1"/>
  <c r="Y264" i="1" s="1"/>
  <c r="AC264" i="1" s="1"/>
  <c r="X278" i="1"/>
  <c r="Y278" i="1" s="1"/>
  <c r="AC278" i="1" s="1"/>
  <c r="X233" i="1"/>
  <c r="Y233" i="1" s="1"/>
  <c r="AC233" i="1" s="1"/>
  <c r="X275" i="1"/>
  <c r="Y275" i="1" s="1"/>
  <c r="AC275" i="1" s="1"/>
  <c r="X447" i="1"/>
  <c r="Y447" i="1" s="1"/>
  <c r="AC447" i="1" s="1"/>
  <c r="X234" i="1"/>
  <c r="Y234" i="1" s="1"/>
  <c r="AC234" i="1" s="1"/>
  <c r="X418" i="1"/>
  <c r="Y418" i="1" s="1"/>
  <c r="AC418" i="1" s="1"/>
  <c r="AA363" i="1"/>
  <c r="AC363" i="1" s="1"/>
  <c r="AA158" i="1"/>
  <c r="AC158" i="1" s="1"/>
  <c r="AC238" i="1" l="1"/>
  <c r="AC309" i="1"/>
  <c r="AC455" i="1"/>
  <c r="AA87" i="1"/>
  <c r="AC87" i="1" s="1"/>
  <c r="AC193" i="1" l="1"/>
  <c r="AC881" i="1" s="1"/>
  <c r="AB625" i="1"/>
  <c r="AB624" i="1"/>
  <c r="AB265" i="1"/>
  <c r="AB250" i="1"/>
  <c r="AB245" i="1"/>
  <c r="AB241" i="1"/>
  <c r="AB244" i="1"/>
  <c r="AB247" i="1"/>
  <c r="AB619" i="1"/>
  <c r="AB618" i="1"/>
  <c r="AB616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557" i="1"/>
  <c r="AB558" i="1"/>
  <c r="AB559" i="1"/>
  <c r="AB560" i="1"/>
  <c r="AB561" i="1"/>
  <c r="AB550" i="1"/>
  <c r="AB548" i="1"/>
  <c r="AB535" i="1"/>
  <c r="AB531" i="1"/>
  <c r="AB517" i="1"/>
  <c r="AB487" i="1"/>
  <c r="AB482" i="1"/>
  <c r="AB479" i="1"/>
  <c r="AB471" i="1"/>
  <c r="AB472" i="1"/>
  <c r="AB473" i="1"/>
  <c r="AB474" i="1"/>
  <c r="AB463" i="1"/>
  <c r="AB451" i="1"/>
  <c r="AB439" i="1"/>
  <c r="AB415" i="1"/>
  <c r="AB412" i="1"/>
  <c r="AB409" i="1"/>
  <c r="AB410" i="1"/>
  <c r="AB407" i="1"/>
  <c r="AB406" i="1"/>
  <c r="AB394" i="1"/>
  <c r="AB372" i="1"/>
  <c r="AB368" i="1"/>
  <c r="AB317" i="1"/>
  <c r="AB288" i="1"/>
  <c r="AB286" i="1"/>
  <c r="AB281" i="1"/>
  <c r="AB279" i="1"/>
  <c r="AB384" i="1" l="1"/>
  <c r="AB422" i="1" l="1"/>
  <c r="AB430" i="1"/>
  <c r="AB277" i="1"/>
  <c r="AB159" i="1" l="1"/>
  <c r="AB856" i="1" l="1"/>
  <c r="AB873" i="1" l="1"/>
  <c r="AB862" i="1"/>
  <c r="AB859" i="1"/>
  <c r="AB858" i="1"/>
  <c r="AB857" i="1"/>
  <c r="AB855" i="1"/>
  <c r="AB852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2" i="1"/>
  <c r="AB803" i="1"/>
  <c r="AB801" i="1"/>
  <c r="AB800" i="1"/>
  <c r="AB797" i="1"/>
  <c r="AB796" i="1"/>
  <c r="AB793" i="1"/>
  <c r="AB792" i="1"/>
  <c r="AB791" i="1"/>
  <c r="AB790" i="1"/>
  <c r="AB789" i="1"/>
  <c r="AB788" i="1"/>
  <c r="AB787" i="1"/>
  <c r="AB786" i="1"/>
  <c r="AB785" i="1"/>
  <c r="AB784" i="1"/>
  <c r="AB783" i="1"/>
  <c r="AB781" i="1"/>
  <c r="AB782" i="1"/>
  <c r="AB775" i="1"/>
  <c r="AB777" i="1"/>
  <c r="AB776" i="1"/>
  <c r="AB774" i="1"/>
  <c r="AB773" i="1"/>
  <c r="AB772" i="1"/>
  <c r="AB771" i="1"/>
  <c r="AB770" i="1"/>
  <c r="AB769" i="1"/>
  <c r="AB768" i="1"/>
  <c r="AB765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7" i="1"/>
  <c r="AB746" i="1"/>
  <c r="AB745" i="1"/>
  <c r="AB744" i="1"/>
  <c r="AB743" i="1"/>
  <c r="AB742" i="1"/>
  <c r="AB741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4" i="1"/>
  <c r="AB723" i="1"/>
  <c r="AB722" i="1"/>
  <c r="AB725" i="1"/>
  <c r="AB721" i="1"/>
  <c r="AB719" i="1"/>
  <c r="AB720" i="1"/>
  <c r="AB715" i="1"/>
  <c r="AB717" i="1"/>
  <c r="AB714" i="1"/>
  <c r="AB712" i="1"/>
  <c r="AB711" i="1"/>
  <c r="AB710" i="1"/>
  <c r="AB709" i="1"/>
  <c r="AB707" i="1"/>
  <c r="AB705" i="1"/>
  <c r="AB704" i="1"/>
  <c r="AB703" i="1"/>
  <c r="AB702" i="1"/>
  <c r="AB701" i="1"/>
  <c r="AB699" i="1"/>
  <c r="AB698" i="1"/>
  <c r="AB697" i="1"/>
  <c r="AB696" i="1"/>
  <c r="AB695" i="1"/>
  <c r="AB692" i="1"/>
  <c r="AB691" i="1"/>
  <c r="AB690" i="1"/>
  <c r="AB689" i="1"/>
  <c r="AB688" i="1"/>
  <c r="AB687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3" i="1"/>
  <c r="AB662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4" i="1"/>
  <c r="AB642" i="1"/>
  <c r="AB641" i="1"/>
  <c r="AB640" i="1"/>
  <c r="AB639" i="1"/>
  <c r="AB638" i="1"/>
  <c r="AB637" i="1"/>
  <c r="AB635" i="1"/>
  <c r="AB634" i="1"/>
  <c r="AB633" i="1"/>
  <c r="AB632" i="1"/>
  <c r="AB631" i="1"/>
  <c r="AB629" i="1"/>
  <c r="AB628" i="1"/>
  <c r="AB626" i="1"/>
  <c r="AB623" i="1"/>
  <c r="AB622" i="1"/>
  <c r="AB621" i="1"/>
  <c r="AB620" i="1"/>
  <c r="AB615" i="1"/>
  <c r="AB609" i="1"/>
  <c r="AB608" i="1"/>
  <c r="AB606" i="1"/>
  <c r="AB607" i="1"/>
  <c r="AB605" i="1"/>
  <c r="AB603" i="1"/>
  <c r="AB577" i="1"/>
  <c r="AB576" i="1"/>
  <c r="AB573" i="1"/>
  <c r="AB572" i="1"/>
  <c r="AB570" i="1"/>
  <c r="AB569" i="1"/>
  <c r="AB568" i="1"/>
  <c r="AB567" i="1"/>
  <c r="AB566" i="1"/>
  <c r="AB565" i="1"/>
  <c r="AB564" i="1"/>
  <c r="AB563" i="1"/>
  <c r="AB562" i="1"/>
  <c r="AB556" i="1"/>
  <c r="AB555" i="1"/>
  <c r="AB554" i="1"/>
  <c r="AB553" i="1"/>
  <c r="AB552" i="1"/>
  <c r="AB549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4" i="1"/>
  <c r="AB533" i="1"/>
  <c r="AB532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6" i="1"/>
  <c r="AB514" i="1"/>
  <c r="AB515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6" i="1"/>
  <c r="AB485" i="1"/>
  <c r="AB484" i="1"/>
  <c r="AB483" i="1"/>
  <c r="AB481" i="1"/>
  <c r="AB480" i="1"/>
  <c r="AB478" i="1"/>
  <c r="AB477" i="1"/>
  <c r="AB476" i="1"/>
  <c r="AB475" i="1"/>
  <c r="AB470" i="1"/>
  <c r="AB469" i="1"/>
  <c r="AB468" i="1"/>
  <c r="AB467" i="1"/>
  <c r="AB466" i="1"/>
  <c r="AB465" i="1"/>
  <c r="AB464" i="1"/>
  <c r="AB462" i="1"/>
  <c r="AB461" i="1"/>
  <c r="AB460" i="1"/>
  <c r="AB459" i="1"/>
  <c r="AB458" i="1"/>
  <c r="AB457" i="1"/>
  <c r="AB454" i="1"/>
  <c r="AB453" i="1"/>
  <c r="AB452" i="1"/>
  <c r="AB450" i="1"/>
  <c r="AB449" i="1"/>
  <c r="AB448" i="1"/>
  <c r="AB447" i="1"/>
  <c r="AB446" i="1"/>
  <c r="AB445" i="1"/>
  <c r="AB444" i="1"/>
  <c r="AB442" i="1"/>
  <c r="AB441" i="1"/>
  <c r="AB440" i="1"/>
  <c r="AB438" i="1"/>
  <c r="AB437" i="1"/>
  <c r="AB436" i="1"/>
  <c r="AB435" i="1"/>
  <c r="AB434" i="1"/>
  <c r="AB433" i="1"/>
  <c r="AB432" i="1"/>
  <c r="AB431" i="1"/>
  <c r="AB421" i="1"/>
  <c r="AB420" i="1"/>
  <c r="AB419" i="1"/>
  <c r="AB418" i="1"/>
  <c r="AB417" i="1"/>
  <c r="AB416" i="1"/>
  <c r="AB414" i="1"/>
  <c r="AB411" i="1"/>
  <c r="AB408" i="1"/>
  <c r="AB405" i="1"/>
  <c r="AB404" i="1"/>
  <c r="AB403" i="1"/>
  <c r="AB402" i="1"/>
  <c r="AB401" i="1"/>
  <c r="AB400" i="1"/>
  <c r="AB399" i="1"/>
  <c r="AB398" i="1"/>
  <c r="AB397" i="1"/>
  <c r="AB396" i="1"/>
  <c r="AB395" i="1"/>
  <c r="AB393" i="1"/>
  <c r="AB392" i="1"/>
  <c r="AB391" i="1"/>
  <c r="AB390" i="1"/>
  <c r="AB389" i="1"/>
  <c r="AB388" i="1"/>
  <c r="AB387" i="1"/>
  <c r="AB386" i="1"/>
  <c r="AB385" i="1"/>
  <c r="AB383" i="1"/>
  <c r="AB382" i="1"/>
  <c r="AB381" i="1"/>
  <c r="AB380" i="1"/>
  <c r="AB379" i="1"/>
  <c r="AB378" i="1"/>
  <c r="AB377" i="1"/>
  <c r="AB376" i="1"/>
  <c r="AB375" i="1"/>
  <c r="AB374" i="1"/>
  <c r="AB373" i="1"/>
  <c r="AB371" i="1"/>
  <c r="AB370" i="1"/>
  <c r="AB369" i="1"/>
  <c r="AB367" i="1"/>
  <c r="AB366" i="1"/>
  <c r="AB365" i="1"/>
  <c r="AB364" i="1"/>
  <c r="AB363" i="1"/>
  <c r="AB362" i="1"/>
  <c r="AB335" i="1"/>
  <c r="AB333" i="1"/>
  <c r="AB332" i="1"/>
  <c r="AB331" i="1"/>
  <c r="AB329" i="1"/>
  <c r="AB328" i="1"/>
  <c r="AB326" i="1"/>
  <c r="AB325" i="1"/>
  <c r="AB324" i="1"/>
  <c r="AB322" i="1"/>
  <c r="AB321" i="1"/>
  <c r="AB320" i="1"/>
  <c r="AB319" i="1"/>
  <c r="AB318" i="1"/>
  <c r="AB316" i="1"/>
  <c r="AB315" i="1"/>
  <c r="AB314" i="1"/>
  <c r="AB313" i="1"/>
  <c r="AB312" i="1"/>
  <c r="AB304" i="1"/>
  <c r="AB303" i="1"/>
  <c r="AB302" i="1"/>
  <c r="AB301" i="1"/>
  <c r="AB299" i="1"/>
  <c r="AB295" i="1"/>
  <c r="AB294" i="1"/>
  <c r="AB293" i="1"/>
  <c r="AB292" i="1"/>
  <c r="AB240" i="1"/>
  <c r="AB291" i="1"/>
  <c r="AB287" i="1"/>
  <c r="AB285" i="1"/>
  <c r="AB283" i="1"/>
  <c r="AB280" i="1"/>
  <c r="AB278" i="1"/>
  <c r="AB274" i="1"/>
  <c r="AB270" i="1"/>
  <c r="AB268" i="1"/>
  <c r="AB267" i="1"/>
  <c r="AB266" i="1"/>
  <c r="AB264" i="1"/>
  <c r="AB263" i="1"/>
  <c r="AB261" i="1"/>
  <c r="AB260" i="1"/>
  <c r="AB259" i="1"/>
  <c r="AB257" i="1"/>
  <c r="AB255" i="1"/>
  <c r="AB275" i="1"/>
  <c r="AB251" i="1"/>
  <c r="AB206" i="1"/>
  <c r="AB199" i="1"/>
  <c r="AB198" i="1"/>
  <c r="AB191" i="1"/>
  <c r="AB189" i="1"/>
  <c r="AB188" i="1"/>
  <c r="AB187" i="1"/>
  <c r="AB186" i="1"/>
  <c r="AB183" i="1"/>
  <c r="AB181" i="1"/>
  <c r="AB179" i="1"/>
  <c r="AB177" i="1"/>
  <c r="AB176" i="1"/>
  <c r="AB174" i="1"/>
  <c r="AB172" i="1"/>
  <c r="AB171" i="1"/>
  <c r="AB169" i="1"/>
  <c r="AB167" i="1"/>
  <c r="AB166" i="1"/>
  <c r="AB165" i="1"/>
  <c r="AB164" i="1"/>
  <c r="AB163" i="1"/>
  <c r="AB161" i="1"/>
  <c r="AB160" i="1"/>
  <c r="AB158" i="1"/>
  <c r="AB157" i="1"/>
  <c r="AB155" i="1"/>
  <c r="AB153" i="1"/>
  <c r="AB151" i="1"/>
  <c r="AB149" i="1"/>
  <c r="AB148" i="1"/>
  <c r="AB147" i="1"/>
  <c r="AB146" i="1"/>
  <c r="AB145" i="1"/>
  <c r="AB144" i="1"/>
  <c r="AB143" i="1"/>
  <c r="AB142" i="1"/>
  <c r="AB141" i="1"/>
  <c r="AB139" i="1"/>
  <c r="AB138" i="1"/>
  <c r="AB136" i="1"/>
  <c r="AB134" i="1"/>
  <c r="AB132" i="1"/>
  <c r="AB130" i="1"/>
  <c r="AB127" i="1"/>
  <c r="AB126" i="1"/>
  <c r="AB125" i="1"/>
  <c r="AB122" i="1"/>
  <c r="AB120" i="1"/>
  <c r="AB119" i="1"/>
  <c r="AB118" i="1"/>
  <c r="AB115" i="1"/>
  <c r="AB113" i="1"/>
  <c r="AB111" i="1"/>
  <c r="AB110" i="1"/>
  <c r="AB109" i="1"/>
  <c r="AB108" i="1"/>
  <c r="AB106" i="1"/>
  <c r="AB105" i="1"/>
  <c r="AB102" i="1"/>
  <c r="AB99" i="1"/>
  <c r="AB97" i="1"/>
  <c r="AB96" i="1"/>
  <c r="AB92" i="1"/>
  <c r="AB91" i="1"/>
  <c r="AB90" i="1"/>
  <c r="AB87" i="1"/>
  <c r="AB86" i="1"/>
  <c r="AB85" i="1"/>
  <c r="AB83" i="1"/>
  <c r="AB81" i="1"/>
  <c r="AB80" i="1"/>
  <c r="AB78" i="1"/>
  <c r="AB76" i="1"/>
  <c r="AB74" i="1"/>
  <c r="AB73" i="1"/>
  <c r="AB71" i="1"/>
  <c r="AB70" i="1"/>
  <c r="AB69" i="1"/>
  <c r="AB67" i="1"/>
  <c r="AB66" i="1"/>
  <c r="AB65" i="1"/>
  <c r="AB64" i="1"/>
  <c r="AB63" i="1"/>
  <c r="AB62" i="1"/>
  <c r="AB61" i="1"/>
  <c r="AB60" i="1"/>
  <c r="AB59" i="1"/>
  <c r="AB58" i="1"/>
  <c r="AB56" i="1"/>
  <c r="AB54" i="1"/>
  <c r="AB53" i="1"/>
  <c r="AB52" i="1"/>
  <c r="AB51" i="1"/>
  <c r="AB50" i="1"/>
  <c r="AB49" i="1"/>
  <c r="AB48" i="1"/>
  <c r="AB47" i="1"/>
  <c r="AB46" i="1"/>
  <c r="AB44" i="1"/>
  <c r="AB43" i="1"/>
  <c r="AB42" i="1"/>
  <c r="AB41" i="1"/>
  <c r="AB39" i="1"/>
  <c r="AB38" i="1"/>
  <c r="AB36" i="1"/>
  <c r="AB34" i="1"/>
  <c r="AB32" i="1"/>
  <c r="AB30" i="1"/>
  <c r="AB28" i="1"/>
  <c r="AB24" i="1"/>
  <c r="AB26" i="1"/>
  <c r="AB23" i="1"/>
  <c r="AB22" i="1"/>
  <c r="AB21" i="1"/>
  <c r="AB18" i="1"/>
  <c r="AB173" i="1"/>
  <c r="AB16" i="1"/>
  <c r="AB14" i="1"/>
  <c r="H881" i="1" l="1"/>
  <c r="AA881" i="1" l="1"/>
</calcChain>
</file>

<file path=xl/comments1.xml><?xml version="1.0" encoding="utf-8"?>
<comments xmlns="http://schemas.openxmlformats.org/spreadsheetml/2006/main">
  <authors>
    <author>Dauris Alberto Diaz Jimenez</author>
  </authors>
  <commentList>
    <comment ref="L146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7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96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97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63" authorId="0" shapeId="0">
      <text>
        <r>
          <rPr>
            <b/>
            <sz val="9"/>
            <color indexed="81"/>
            <rFont val="Tahoma"/>
            <family val="2"/>
          </rPr>
          <t>Dauris Alberto Diaz Jimenez:</t>
        </r>
        <r>
          <rPr>
            <sz val="9"/>
            <color indexed="81"/>
            <rFont val="Tahoma"/>
            <family val="2"/>
          </rPr>
          <t xml:space="preserve">
PINES DE 2CM IDENTIFICADOR REDONDO CON LOGO DEL (INTRANT)</t>
        </r>
      </text>
    </comment>
  </commentList>
</comments>
</file>

<file path=xl/sharedStrings.xml><?xml version="1.0" encoding="utf-8"?>
<sst xmlns="http://schemas.openxmlformats.org/spreadsheetml/2006/main" count="2830" uniqueCount="928">
  <si>
    <t>No. Orden</t>
  </si>
  <si>
    <t>FECHA ULTIMA ENTRADA</t>
  </si>
  <si>
    <t>CODIGO DE BIENES NACIONALES ( si aplica)</t>
  </si>
  <si>
    <t>PERIODO DE ADQUISICION</t>
  </si>
  <si>
    <t>CODIGO INSTITUCIONAL</t>
  </si>
  <si>
    <t>DESCRIPCION DEL ACTIVO O BIEN</t>
  </si>
  <si>
    <t>UNIDAD DE MEDIDA</t>
  </si>
  <si>
    <t>COSTO UNITARIO SIN ITBIS</t>
  </si>
  <si>
    <t>COSTO UNITARIO  ITBIS INCLUIDO</t>
  </si>
  <si>
    <t>TOTAL GENERAL EN RD$</t>
  </si>
  <si>
    <t>Materiales Gastable/ materiales para Oficinas</t>
  </si>
  <si>
    <t>N/A</t>
  </si>
  <si>
    <t>UNIDAD</t>
  </si>
  <si>
    <t>ALMOHADILLAS PARA TINTA DE SELLOS</t>
  </si>
  <si>
    <t>ARCHIVO ACORDEON PLASTICO 10*13</t>
  </si>
  <si>
    <t>JUEGOS</t>
  </si>
  <si>
    <t>BORRA D/ LECHE</t>
  </si>
  <si>
    <t>BORRADOR PARA PIZARRA STARDARD</t>
  </si>
  <si>
    <t>CAJAS GENERICAS PARA ARCHIVO TIPO MALETIN  LARGO 15X3/16 DE ANCHO 4 1/2 DE ANCHO Y 25 DE LARGO</t>
  </si>
  <si>
    <t>CALCULADORA DE 12 DIGITO PEQUEÑA</t>
  </si>
  <si>
    <t>0000</t>
  </si>
  <si>
    <t>CALCULADORA SUMADORA SHARP 2630 PIII GRANDE</t>
  </si>
  <si>
    <t>CARPETA COLGANTE PENDAFLEX 8 1/2X14 (25/1) FORDEL CAJA</t>
  </si>
  <si>
    <t>CARPETAS 8 ½ X 11 DE 3 ARGOLLAS DE 1 PULGADAS</t>
  </si>
  <si>
    <t>CARPETAS 8 ½ X 11 DE 3 ARGOLLAS DE 2 PULGADAS</t>
  </si>
  <si>
    <t>CARPETAS 8 ½ X 11 DE 3 ARGOLLAS DE 3 PULGADAS</t>
  </si>
  <si>
    <t>CARPETAS 8 ½ X 11 DE 3 ARGOLLAS DE 5 PULGADAS</t>
  </si>
  <si>
    <t>CARTUCHO HP TINTA 711 AMARILLO</t>
  </si>
  <si>
    <t>CARTUCHO</t>
  </si>
  <si>
    <t>CARTUCHO HP TINTA 711 AZUL</t>
  </si>
  <si>
    <t>CARTUCHO HP TINTA 711 MAGENTA</t>
  </si>
  <si>
    <t>CARTUCHO HP TINTA 711 NEGRO</t>
  </si>
  <si>
    <t>CD EN BLANCO</t>
  </si>
  <si>
    <t>CHINCHETAS</t>
  </si>
  <si>
    <t>CAJITAS</t>
  </si>
  <si>
    <t>CINTA ADHESIVA  3/4</t>
  </si>
  <si>
    <t>CINTA DE EMPAQUE 2X90</t>
  </si>
  <si>
    <t>CINTA PARA SUMADORA (ROLLOS BLANCOS).</t>
  </si>
  <si>
    <t>CLIP BILLETERO DE 15 MM</t>
  </si>
  <si>
    <t>CLIP BILLETERO DE 19 MM</t>
  </si>
  <si>
    <t>CLIP BILLETERO DE 25 MM</t>
  </si>
  <si>
    <t>CLIP BILLETERO DE 32 MM</t>
  </si>
  <si>
    <t>CLIP BILLETERO DE 41 MM</t>
  </si>
  <si>
    <t>CLIP BILLETERO DE 51 MM</t>
  </si>
  <si>
    <t>CLIPS No. 1 (PEQ.)</t>
  </si>
  <si>
    <t>CLIPS No. 2 (JUMBO)</t>
  </si>
  <si>
    <t>CORRECTOR LIQUIDO</t>
  </si>
  <si>
    <t>COVER PLASTICO PARA ENCUADERNAR 8 1/2*11 COLORES</t>
  </si>
  <si>
    <t>PAQUETE</t>
  </si>
  <si>
    <t>DISPENSADOR DE CINTA 3/4 (PORTA CINTA)</t>
  </si>
  <si>
    <t>DVD EN BLANCO</t>
  </si>
  <si>
    <t>ESPIRAL  18MM</t>
  </si>
  <si>
    <t>ESPIRAL 10MM</t>
  </si>
  <si>
    <t xml:space="preserve">FELPAS AZULES </t>
  </si>
  <si>
    <t>FELPAS AZULES NUEVAS, EN USO</t>
  </si>
  <si>
    <t xml:space="preserve">FELPAS NEGRAS </t>
  </si>
  <si>
    <t>FOLDER 8½ X 11 ( UND )</t>
  </si>
  <si>
    <t>FOLDER 8½ X 14 ( UND )</t>
  </si>
  <si>
    <t>FOLDER PARTITIONS 8 1/2X11 AZUL CLARO</t>
  </si>
  <si>
    <t>FOLDERS C/B SATINADO BSN BLANCO</t>
  </si>
  <si>
    <t>FOLDERS COLOR AZUL CLARO 8 1/2*11</t>
  </si>
  <si>
    <t>FOLDERS COLOR MAMEY 8 1/2*11</t>
  </si>
  <si>
    <t>GANCHO PARA FOLDER (PARA ARCHIVO) 1/50 ACORD</t>
  </si>
  <si>
    <t>GOMITAS (BANDAS DE GOMA) 1/50 CAJITAS</t>
  </si>
  <si>
    <t>GRAPA 3/8 PARA 100  PAG.</t>
  </si>
  <si>
    <t>GRAPA STANDARD</t>
  </si>
  <si>
    <t>GRAPADORA OFIMAK  S444 (PEQUEÑA)</t>
  </si>
  <si>
    <t>GRAPADORA PARA 100 HOJAS</t>
  </si>
  <si>
    <t>LABELS BLANCOS ADHESIVOS PARA SOBRES E IMPRESORA 2X4</t>
  </si>
  <si>
    <t>LABELS PARA FOLDERS</t>
  </si>
  <si>
    <t>LAMINA P/PLASTIFICAR 229MM X X292 MM ESPESOR</t>
  </si>
  <si>
    <t>LAPICERO ROJO</t>
  </si>
  <si>
    <t>LAPICEROS AZUL</t>
  </si>
  <si>
    <t>LAPICEROS INSTITUCIONALES INTRANT</t>
  </si>
  <si>
    <t>LAPIZ DE CARBON NO. 2</t>
  </si>
  <si>
    <t xml:space="preserve">LIBRETA RAYADA 5X8 </t>
  </si>
  <si>
    <t>LIBRETA RAYADA 8½ X 11</t>
  </si>
  <si>
    <t>LIBRO RECORD DE 300 PAGINAS</t>
  </si>
  <si>
    <t>LIBRO RECORD DE 500 PAGINAS</t>
  </si>
  <si>
    <t>MARCADOR PERMANENTE AZUL</t>
  </si>
  <si>
    <t> UNIDAD</t>
  </si>
  <si>
    <t>MARCADOR PERMANENTE NEGRO</t>
  </si>
  <si>
    <t>MARCADOR PERMANENTE ROJO</t>
  </si>
  <si>
    <t>MARCADORES PARA  PIZARRA NEGRO</t>
  </si>
  <si>
    <t>MARCADORES PARA  PIZARRA ROJO</t>
  </si>
  <si>
    <t>MARCADORES PARA  PIZARRA VERDE</t>
  </si>
  <si>
    <t>PAPEL CARBON 8½ X 11 AZUL PAQUETES DE 100/1 UNIDADES</t>
  </si>
  <si>
    <t>PEGAMENTO EN BARRA 8 GRS (UHU)</t>
  </si>
  <si>
    <t>PERFORADORA DE 2 HOYOS PRINTEK</t>
  </si>
  <si>
    <t>PERFORADORA DE 3 HOYOS</t>
  </si>
  <si>
    <t>PILAS TRIPLE  AA</t>
  </si>
  <si>
    <t>PILAS TRIPLE  AAA</t>
  </si>
  <si>
    <t>PORTA CLIPS</t>
  </si>
  <si>
    <t>PORTA LAPIZ EN METAL</t>
  </si>
  <si>
    <t>POST-IT  3*3 AMARILLO (NOTAS ADHESIVAS)</t>
  </si>
  <si>
    <t>POST-IT  5*3 AMARILLO (NOTAS ADHESIVAS)</t>
  </si>
  <si>
    <t>REGLAS PLASTICA</t>
  </si>
  <si>
    <t>RESALTADOR AMARILLO</t>
  </si>
  <si>
    <t>RESALTADOR AZUL</t>
  </si>
  <si>
    <t>RESALTADOR NARANJA</t>
  </si>
  <si>
    <t>RESALTADOR ROSADO</t>
  </si>
  <si>
    <t>RESALTADOR VERDE</t>
  </si>
  <si>
    <t>RESMA DE PAPEL 11X17</t>
  </si>
  <si>
    <t>RESMA</t>
  </si>
  <si>
    <t xml:space="preserve">RESMA DE PAPEL 81/2x11 ( HOJA DE HILO)  </t>
  </si>
  <si>
    <t xml:space="preserve">UNIDAD </t>
  </si>
  <si>
    <t>ROLLO DE PAPEL PARA PLOTTER 24X150</t>
  </si>
  <si>
    <t>ROLLO DE PAPEL PARA SUMADORA (ROLLO BLANCO)</t>
  </si>
  <si>
    <t>SACA GRAPAS</t>
  </si>
  <si>
    <t>SACAPUNTA DE METAL</t>
  </si>
  <si>
    <t>SACAPUNTA ELECTRICO</t>
  </si>
  <si>
    <t>SEPARADORES DE HOJAS PLASTICA (PROTECTORA)</t>
  </si>
  <si>
    <t>SOBRE MANILA 10X13 AMARILLO  500/2</t>
  </si>
  <si>
    <t>SOBRE MANILA 10X13 BLANCO 500/1</t>
  </si>
  <si>
    <t>SOBRE MANILA 6X9 AMARILLO</t>
  </si>
  <si>
    <t>SOBRE MANILA 9X12 AMARILLO</t>
  </si>
  <si>
    <t>SOBRE MANILA 9X12 BLANCO</t>
  </si>
  <si>
    <t>SOBRE MANILA 9X12 BLANCO INSTITUCIONAL</t>
  </si>
  <si>
    <t>SOBRE PARA CARTA (BLANCO)</t>
  </si>
  <si>
    <t>SOBRE PARA CARTA (BLANCO) INSTITUCIONALES</t>
  </si>
  <si>
    <t>TABLILLA DE APOYO DE MADERA 81/2X11</t>
  </si>
  <si>
    <t>TABLILLA DE APOYO DE MADERA 9X13</t>
  </si>
  <si>
    <t xml:space="preserve">TAPE DOBLE CARA </t>
  </si>
  <si>
    <t>TIJERAS DE 5 PULG DE OFICINA</t>
  </si>
  <si>
    <t>TINTA GOTERO 664 EPSON AMARILLO</t>
  </si>
  <si>
    <t>FRASCO</t>
  </si>
  <si>
    <t>TINTA GOTERO 664 EPSON AZUL</t>
  </si>
  <si>
    <t>TINTA GOTERO 664 EPSON NEGRO</t>
  </si>
  <si>
    <t>TINTA GOTERO 664 EPSON ROSADO</t>
  </si>
  <si>
    <t>TINTA GOTERO SOLUTECH AZUL (PARA SELLOS)</t>
  </si>
  <si>
    <t>TINTA GOTERO SOLUTECH NEGRO  (PARA SELLOS)</t>
  </si>
  <si>
    <t>TINTA GOTERO SOLUTECH ROJO  (PARA SELLOS)</t>
  </si>
  <si>
    <t>TINTA GOTERO SOLUTECH VERDE  (PARA SELLOS)</t>
  </si>
  <si>
    <t>ZAFACON PARA OFICINA DE METAL 265X265</t>
  </si>
  <si>
    <t xml:space="preserve">Sub.Total </t>
  </si>
  <si>
    <t>Insumos</t>
  </si>
  <si>
    <t>AGUA 16 ONZA  20/1 (BOTELLITA)</t>
  </si>
  <si>
    <t>FARDOS</t>
  </si>
  <si>
    <t>AZUCAR BLANCA PAQ. DE 5 LIBRAS</t>
  </si>
  <si>
    <t>PAQUETES/5LIBRAS</t>
  </si>
  <si>
    <t>AZUCAR CREMA PAQ. DE 5 LIBRAS</t>
  </si>
  <si>
    <t>AZUCAR DE DIETA 100/1</t>
  </si>
  <si>
    <t>CAJAS DE 100 UNID.</t>
  </si>
  <si>
    <t>AZUCAR DE DIETA 1000/1</t>
  </si>
  <si>
    <t>CAJAS DE 1000 UNID.</t>
  </si>
  <si>
    <t xml:space="preserve">AZUCAR EN SOBRE CREMA  500/1 </t>
  </si>
  <si>
    <t>PAQUETES 500/1</t>
  </si>
  <si>
    <t>GALONES</t>
  </si>
  <si>
    <t>PAQUETE DE CUCHARAS DESECHABLES 25/1</t>
  </si>
  <si>
    <t>PAQUETE DE TENEDORES DESECHABLES 25/1</t>
  </si>
  <si>
    <t>PAQUETE PLATOS DESECHABLES NO.6 (25/1)</t>
  </si>
  <si>
    <t>PAQUETE PLATOS DESECHABLES NO.9 (25/1)</t>
  </si>
  <si>
    <t>REMOVEDORES DE CAFÉ EN MADERA</t>
  </si>
  <si>
    <t>SERVILLETAS paq. 500/1</t>
  </si>
  <si>
    <t xml:space="preserve">SOBRE DE CREMORA PAQUETE 50/1 </t>
  </si>
  <si>
    <t>TE DE JENGIBLE (CALIENTE) 20/2</t>
  </si>
  <si>
    <t xml:space="preserve">CAJITA </t>
  </si>
  <si>
    <t>TE LIPTO (TE FRIO)</t>
  </si>
  <si>
    <t>LATAS</t>
  </si>
  <si>
    <t>TE MANZANILLA  (CALIENTE) 20/1</t>
  </si>
  <si>
    <t>VASO PLASTICO PAQUETE Nc.10 50/1</t>
  </si>
  <si>
    <t xml:space="preserve">VASOS DESECHABLE DE CAFE Nc. 2 BIODEGRADABLE  (CARTON) 50/1 </t>
  </si>
  <si>
    <t xml:space="preserve">MAYORDOMIA/SERVICIOS GENERALES </t>
  </si>
  <si>
    <t>ALCOHOL AL 70% EN GALON</t>
  </si>
  <si>
    <t>ALFOMBRAS DE ENTRADA AZULES (PARA SANITIZAR)</t>
  </si>
  <si>
    <t>UND.</t>
  </si>
  <si>
    <t>AMBIENTADORES SPRAY</t>
  </si>
  <si>
    <t>BANDEJAS DE DESINFECCION ACERO INOXIDABLE CON ALFOMBRA (PARA SANITIZAR)</t>
  </si>
  <si>
    <t xml:space="preserve">BRILLO VERDE, DOBLE USO </t>
  </si>
  <si>
    <t xml:space="preserve">CEPILLO P/PARED </t>
  </si>
  <si>
    <t>GALON</t>
  </si>
  <si>
    <t>DESCALIN PARA LIMPIAR CERAMICA</t>
  </si>
  <si>
    <t>DESINFECTANTE MISTOLIN</t>
  </si>
  <si>
    <t>DESINFECTANTE QUIMICO PARA ALFOMBRA</t>
  </si>
  <si>
    <t>DISPENSADORES DE MANITAS LIMPIAS/JABON LIQUIDO 400ML</t>
  </si>
  <si>
    <t>DISPENSADORES DE PAPEL TIPO DISCO</t>
  </si>
  <si>
    <t>DISPENSADORES DE PAPEL TIPO TOALLA</t>
  </si>
  <si>
    <t>ENVANSE PLASTICO PARA ALCOHOL DE 32 ONZAS</t>
  </si>
  <si>
    <t xml:space="preserve">ESCOBA TIPO ABANICO </t>
  </si>
  <si>
    <t>ESPUMA LIMPIADORA (ESPUMA LOCA)</t>
  </si>
  <si>
    <t>FUNDAS NEGRAS DE 55 GALONES TIPO TANQUE 100/1</t>
  </si>
  <si>
    <t>FUNDAS NEGRAS PLASTICA DE 30 GL.  100/1</t>
  </si>
  <si>
    <t>FUNDAS NO. 6 NEGRAS (FARDO 100/1)</t>
  </si>
  <si>
    <t>GEL ANTIBACTERIAL FRASCOS DE 2 ONZAS</t>
  </si>
  <si>
    <t>PARES</t>
  </si>
  <si>
    <t>GUANTES DOMESTICO (S, M, L, XL)</t>
  </si>
  <si>
    <t>HISOPOS DE BAÑOS CON BASE</t>
  </si>
  <si>
    <t>ILUSTRADOR DE MADERA (CAOBIN) 8 onz</t>
  </si>
  <si>
    <t>JABON LIQUIDO DE CUABA</t>
  </si>
  <si>
    <t xml:space="preserve">JABON LIQUIDO DE LAVARSE LAS MANOS </t>
  </si>
  <si>
    <t>LANILLAS FALDOS</t>
  </si>
  <si>
    <t>FALDOS</t>
  </si>
  <si>
    <t xml:space="preserve">LIMPIA CRISTAL </t>
  </si>
  <si>
    <t>CAJAS</t>
  </si>
  <si>
    <t>PAPEL HIGIENICO SCOTT DOBLE 24/1</t>
  </si>
  <si>
    <t xml:space="preserve">PAPEL JUMBO JUNIOR TIPO DISCO </t>
  </si>
  <si>
    <t>ROLLOS</t>
  </si>
  <si>
    <t>SACOS DE ACE</t>
  </si>
  <si>
    <t>SUAPER C/PALO NO.28</t>
  </si>
  <si>
    <t>SUAPER C/PALO NO.32</t>
  </si>
  <si>
    <t>BANDEJAS REDONDAS PARA SERVIR LLANAS ACERO INOXIDABLE</t>
  </si>
  <si>
    <t>UNIDADES</t>
  </si>
  <si>
    <t>BANDEJAS REDONDAS PARA SERVIR ONDAS ACERO INOXIDABLE</t>
  </si>
  <si>
    <t>BANDERA INSTITUCIONAL  4X6 PARA EXTERIOR</t>
  </si>
  <si>
    <t>BANDERAS DE LA REPUBLICA DOMINICANA EN TELA DE 48"X74", PARA EXTERIOR.       INTRANT</t>
  </si>
  <si>
    <t xml:space="preserve">CAFETERA CON TAPA GRANDE </t>
  </si>
  <si>
    <t xml:space="preserve">CAFETERA CON TAPA PEQUEÑA </t>
  </si>
  <si>
    <t>CAFETERA ELECTRICA OSTER DE 35 TAZAS ACERO INOXIDABLE</t>
  </si>
  <si>
    <t>COPAS TIPO MERLOT CAJAS DE 12 UNIDADES</t>
  </si>
  <si>
    <t>CUBIERTOS METAL GRANDES</t>
  </si>
  <si>
    <t>CUCHARAS DE METAL GRANDES</t>
  </si>
  <si>
    <t>CUCHARAS DE METAL PARA CAFÉ (PEQ.)</t>
  </si>
  <si>
    <t>CUCHILLOS DE METAL GRANDES</t>
  </si>
  <si>
    <t>JARRAS DE CRISTAL PARA AGUA</t>
  </si>
  <si>
    <t>JARRAS PLASTICAS PARA AGUA</t>
  </si>
  <si>
    <t>MASTIL DE INTERIOR EXTENSIBLE CON BASE ACERO INOXIDABLE  DE 5.8 A 20</t>
  </si>
  <si>
    <t>PAPEL TOALLA (ABSORBENTE PARA COCINA)</t>
  </si>
  <si>
    <t>PLATOS LLANOS EN PORCELANA DE 6 UNIDADES (LLANOS)</t>
  </si>
  <si>
    <t>PLATOS PICADERA EN PORCELANA DE 6 UNIDADES (PEQ.)</t>
  </si>
  <si>
    <t xml:space="preserve">TAZAS DE CAFÉ DE 6 UNIDADES </t>
  </si>
  <si>
    <t xml:space="preserve">TAZAS DE TE DE 6 UNIDADES </t>
  </si>
  <si>
    <t>TERMOS DE CAFÉ PLASTICOS</t>
  </si>
  <si>
    <t xml:space="preserve">VASOS DE AGUA DE CRISTAL DE 12 UNIDADES </t>
  </si>
  <si>
    <t>Electrico</t>
  </si>
  <si>
    <t>ADAPTADOR ELECTRICO DE 1/2</t>
  </si>
  <si>
    <t xml:space="preserve">ALAMBRE CALIBRE NO.12    </t>
  </si>
  <si>
    <t>ROLLO</t>
  </si>
  <si>
    <t>ALAMBRE CALIBRE NO.12 DUPLEX    BLANCO</t>
  </si>
  <si>
    <t>ALAMBRE DE GOMA No. 10 DE 4 HILO (PIE)</t>
  </si>
  <si>
    <t>ALAMBRE ELECTRICO NO. 2  (PIE)</t>
  </si>
  <si>
    <t>PIE</t>
  </si>
  <si>
    <t>ALAMBRE ELECTRICO No. 3 (PIE)</t>
  </si>
  <si>
    <t>ALAMBRE ELECTRICO NO. 8 PIE)</t>
  </si>
  <si>
    <t>ALAMBRE ELECTRICO No.10 NEGRO (PIE)</t>
  </si>
  <si>
    <t xml:space="preserve">ALAMBRE No.12  NEGRO (PIE) </t>
  </si>
  <si>
    <t>ALAMBRE No.12 BLANCO (PIE)</t>
  </si>
  <si>
    <t>ALAMBRE No.14 (PIE)</t>
  </si>
  <si>
    <t>ALAMBRE PARA SOLDAR No. 2 (PIE)</t>
  </si>
  <si>
    <t>AMPERIMETRO FLUKE GARANTIA DE FABRICA</t>
  </si>
  <si>
    <t xml:space="preserve">BASE DE FOTOCELDAS </t>
  </si>
  <si>
    <t>BASE DE TELEVISION DE HASTA 65" CON BRACKET ARTICULADO (SE MUEVEN)</t>
  </si>
  <si>
    <t xml:space="preserve">BOMBILLA 65 WATTS FLUORESCENTE BAJO CONSUMO </t>
  </si>
  <si>
    <t>BOMBILLA DE BAJO CONSUMO DE 25/30 WATTS</t>
  </si>
  <si>
    <t xml:space="preserve">BOMBILLO DE 20 WATTS </t>
  </si>
  <si>
    <t>BRAKE R DE 15 AMP</t>
  </si>
  <si>
    <t>BRAKER DE 20 AMP</t>
  </si>
  <si>
    <t>BRAKER DE 30 AMP</t>
  </si>
  <si>
    <t>BRAKER DE 40 AMP</t>
  </si>
  <si>
    <t>BRAKER DE 60 AMP</t>
  </si>
  <si>
    <t>BRAKER DE 70 AMP</t>
  </si>
  <si>
    <t>BRAKERS MAIN TRIFASICO 400AMP</t>
  </si>
  <si>
    <t>BREAKER DE 50 AMP</t>
  </si>
  <si>
    <t>CABLE DE TELEFONO EXPIRAL</t>
  </si>
  <si>
    <t>CABLE DE TELEFONO PIES</t>
  </si>
  <si>
    <t xml:space="preserve">CAJA 2X4 MT CON NOCAUTS DE 1/2 </t>
  </si>
  <si>
    <t xml:space="preserve">CAJA DE BRAKER DE 12 A 24 ESPACIO </t>
  </si>
  <si>
    <t xml:space="preserve">CAJA DE BRAKER DE 2 ESPACIO </t>
  </si>
  <si>
    <t xml:space="preserve">CAJA DE BRAKER DE 4 ESPACIO </t>
  </si>
  <si>
    <t>CAJITA TOMACORRIENTE 2X4 METAL</t>
  </si>
  <si>
    <t xml:space="preserve">CANALETAS DE 1 CON ADHESIVO </t>
  </si>
  <si>
    <t xml:space="preserve">CANALETAS DE 1/2 CON ADHESIVO </t>
  </si>
  <si>
    <t xml:space="preserve">CANALETAS DE 2X2 CON ADHESIVO </t>
  </si>
  <si>
    <t xml:space="preserve">CANALETAS DE 3/4 CON ADHESIVO </t>
  </si>
  <si>
    <t xml:space="preserve">CONECTOR DE MEDIA LUNA DE 1/2 </t>
  </si>
  <si>
    <t>CONECTOR DE MEDIA LUNA DE 3/4</t>
  </si>
  <si>
    <t>CONECTOR ELECTRICO 1/4</t>
  </si>
  <si>
    <t>CONECTOR ELECTRICO DE 1/2</t>
  </si>
  <si>
    <t>CONECTOR ELECTRICO DE 3/4</t>
  </si>
  <si>
    <t>CONECTOR ELECTRICO TIPO SILLA</t>
  </si>
  <si>
    <t>CONECTOR EMPLAME PARA ALAMBRE No.10</t>
  </si>
  <si>
    <t>CONECTOR EMPLAME PARA ALAMBRE No.8</t>
  </si>
  <si>
    <t>CONECTORE DE EMPALMES PARA CABLE 1-0</t>
  </si>
  <si>
    <t>CONTACTOR 24V 30 AMPERES 2019</t>
  </si>
  <si>
    <t>CONTACTOR 24V 40 AMPERES 2020</t>
  </si>
  <si>
    <t>DISFUSORES PVC PARA LAMPARAS 4X2</t>
  </si>
  <si>
    <t>EXTENSION ELECTRICA 25 PIES</t>
  </si>
  <si>
    <t xml:space="preserve">FOTOCELDA </t>
  </si>
  <si>
    <t>FOTOCELDAS</t>
  </si>
  <si>
    <t>GUANTES PARA ELECTRICISTA  (AZULES)</t>
  </si>
  <si>
    <t xml:space="preserve">INTERRUCTOR TRIPLE COMPLETO </t>
  </si>
  <si>
    <t>INTERRUPTORES DE 1</t>
  </si>
  <si>
    <t>INTERRUPTORES DE 2</t>
  </si>
  <si>
    <t>INTERRUPTORES DE 3</t>
  </si>
  <si>
    <t>LAMPARA TIPÒ GLOBO</t>
  </si>
  <si>
    <t>MULTIMETRO</t>
  </si>
  <si>
    <t>PINZA DE CORTE TUBO PVC</t>
  </si>
  <si>
    <t xml:space="preserve">PINZA DE PELAR CABLE </t>
  </si>
  <si>
    <t xml:space="preserve">PINZA DE PUNTA </t>
  </si>
  <si>
    <t>REGLETA INDUSTRIAL PARA TOMA CORRIENTE  DE 6 SALIDAS</t>
  </si>
  <si>
    <t>REPUESTO CUCHILLA ELECT. CUT 6X6 C/5 TRUPER</t>
  </si>
  <si>
    <t xml:space="preserve">ROLLO DE TAPE DE GOMA </t>
  </si>
  <si>
    <t>ROLLO TAPE 3M SUPER 33 VINIL NEGRO</t>
  </si>
  <si>
    <t>ROLLO TAPE CIEGA</t>
  </si>
  <si>
    <t>ROLLO TAPE CIEGA 220V</t>
  </si>
  <si>
    <t>ROLLO TAPE VINIL SUPER 33 3/4X66</t>
  </si>
  <si>
    <t xml:space="preserve">TESTER 1601 KYORITSU </t>
  </si>
  <si>
    <t>TAPAS PARA TOMACORRIENTE</t>
  </si>
  <si>
    <t xml:space="preserve">TOMA CORRIENTE TAPA ROJA COMPLETO </t>
  </si>
  <si>
    <t>TOMACORRIENTE 220V</t>
  </si>
  <si>
    <t>TOMACORRIENTE LEVINTON A V C/TAPA</t>
  </si>
  <si>
    <t xml:space="preserve">TUBO FLUORECENTES DE 32 WAST </t>
  </si>
  <si>
    <t>TUBO FLUORECENTES DE 40 WAST</t>
  </si>
  <si>
    <t xml:space="preserve">TUBO FLUORECENTES DE 72 WAST </t>
  </si>
  <si>
    <t>TUBO LED 18 WATT</t>
  </si>
  <si>
    <t xml:space="preserve">TUBOS FLUORECENTES DE 18 WATTS </t>
  </si>
  <si>
    <t xml:space="preserve">TUBOS FLUORECENTES DE 59 WATTS </t>
  </si>
  <si>
    <t>VOLTIMETRO</t>
  </si>
  <si>
    <t>Plomeria</t>
  </si>
  <si>
    <t>ABRAZADERA DE  METAL 1/2</t>
  </si>
  <si>
    <t>ABRAZADERA UNITRO</t>
  </si>
  <si>
    <t>ADAPTADOR HEMBRA DE 1 1/2 PVC</t>
  </si>
  <si>
    <t xml:space="preserve">ADAPTADOR HEMBRA DE 1 PVC </t>
  </si>
  <si>
    <t>ADAPTADOR HEMBRA DE 1/2 PVC</t>
  </si>
  <si>
    <t xml:space="preserve">ADAPTADOR HEMBRA DE 3/4 PVC </t>
  </si>
  <si>
    <t>ADAPTADOR HEMBRA DE 4 PVC</t>
  </si>
  <si>
    <t>ADAPTADOR MACHO 3/4</t>
  </si>
  <si>
    <t xml:space="preserve">ADAPTADOR MACHO DE 1 1/2 PVC </t>
  </si>
  <si>
    <t>ADAPTADOR MACHO DE 1 PVC</t>
  </si>
  <si>
    <t xml:space="preserve">ADAPTADOR MACHO DE 1 PVC </t>
  </si>
  <si>
    <t xml:space="preserve">ADAPTADOR MACHO DE 1/2 PVC </t>
  </si>
  <si>
    <t xml:space="preserve">ADAPTADOR MACHO DE 2 PVC </t>
  </si>
  <si>
    <t>ADAPTADOR MACHO DE 3/4 PVC</t>
  </si>
  <si>
    <t xml:space="preserve">ADAPTADOR MACHO DE 4 PVC </t>
  </si>
  <si>
    <t>ARANDELA DE 3 PVC</t>
  </si>
  <si>
    <t>ARANDELA DE 4 PVC</t>
  </si>
  <si>
    <t xml:space="preserve">BALANCIN DE CALAMINA PARA INODOROS </t>
  </si>
  <si>
    <t>BOLAS PARA FLOTA MEDIANAS</t>
  </si>
  <si>
    <t>BOQUILLAS DE FREGADERO 4 1/2</t>
  </si>
  <si>
    <t>BOQUILLAS DE LAVAMANOS</t>
  </si>
  <si>
    <t>BOQUILLAS DE LAVAMANOS CON AUTOMATICO BETOR</t>
  </si>
  <si>
    <t>CEMENTO PVC 16 ONZ</t>
  </si>
  <si>
    <t>FUNDA</t>
  </si>
  <si>
    <t>CERA DE SOLDADURA</t>
  </si>
  <si>
    <t>CHEQUE DE 1/2 VERTICAL</t>
  </si>
  <si>
    <t>CHEQUE DE 2 VERTICAL ITALY METAL</t>
  </si>
  <si>
    <t xml:space="preserve">CHEQUE DE 3/4 HORIZONTAL </t>
  </si>
  <si>
    <t>CHEQUE DE 3/4 VERTICAL</t>
  </si>
  <si>
    <t>CHEQUE HORIZONTAL TIPO ITALY DE 1</t>
  </si>
  <si>
    <t>CHEQUE HORIZONTAL TIPO ITALY DE 2</t>
  </si>
  <si>
    <t>CINTA PARA DESTAPAR TUBERIA 1/2X50PIES</t>
  </si>
  <si>
    <t>CODO DE 2</t>
  </si>
  <si>
    <t>CODO PVC DE 4</t>
  </si>
  <si>
    <t>CODO PVC PRESION DE 1X90</t>
  </si>
  <si>
    <t xml:space="preserve">CODOS 1 1/2 PVC </t>
  </si>
  <si>
    <t xml:space="preserve">CODOS DE 1/2 PVC </t>
  </si>
  <si>
    <t xml:space="preserve">CODOS DE 2X45 PVC </t>
  </si>
  <si>
    <t xml:space="preserve">CODOS DE 2X90 PVC </t>
  </si>
  <si>
    <t>CODOS DE 3 PVC</t>
  </si>
  <si>
    <t>CODOS DE 3/4 PVC</t>
  </si>
  <si>
    <t xml:space="preserve">CODOS DE 4 PVC </t>
  </si>
  <si>
    <t>COOPLING DE 1 PVC</t>
  </si>
  <si>
    <t xml:space="preserve">COOPLING DE 1/2 PVC </t>
  </si>
  <si>
    <t>COOPLING DE 2 PVC</t>
  </si>
  <si>
    <t xml:space="preserve">COOPLING DE 3 PVC </t>
  </si>
  <si>
    <t>COOPLING DE 3/4 PVC</t>
  </si>
  <si>
    <t>COOPLING DE 4 PVC</t>
  </si>
  <si>
    <t>CORTAS TUBOS</t>
  </si>
  <si>
    <t>CURVA PVC 45 DE 4 PULGADAS</t>
  </si>
  <si>
    <t>CURVA PVC DE 2</t>
  </si>
  <si>
    <t>CURVA PVC DE 3</t>
  </si>
  <si>
    <t>INODOROS COMPLETOS</t>
  </si>
  <si>
    <t>JUNTA DE CERA DE INODORO</t>
  </si>
  <si>
    <t>JUNTA DE INODOROS FASET 60 +14 WAN</t>
  </si>
  <si>
    <t>JUNTA DRESSEN DE 1 PULGADA (UNIONES UNIVERSALES)</t>
  </si>
  <si>
    <t>JUNTA DRESSEN DE 2 PULGADAS (UNIONES UNIVERSALES)</t>
  </si>
  <si>
    <t>KIT DE INODORO COMPLETO</t>
  </si>
  <si>
    <t xml:space="preserve">LAVAMANOS RECTANGULAR DE UN HOYO </t>
  </si>
  <si>
    <t xml:space="preserve">LLAVE ANGULARES DE 1/2 X 3/8 </t>
  </si>
  <si>
    <t>LLAVE DE CHORRO DE 1/2</t>
  </si>
  <si>
    <t>LLAVE DE CHORRO DE 3/4</t>
  </si>
  <si>
    <t>LLAVE DE PASO BOLA MT 1</t>
  </si>
  <si>
    <t>LLAVE DE PASO BOLA MT 1/2</t>
  </si>
  <si>
    <t>LLAVE DE PASO BOLA MT 3/4</t>
  </si>
  <si>
    <t>LLAVE DE PASO BOLA PVC DE 1</t>
  </si>
  <si>
    <t>LLAVE DE PASO DE 3/4 PVC</t>
  </si>
  <si>
    <t>MANGUERAS DE LAVAMANOS</t>
  </si>
  <si>
    <t xml:space="preserve">MANGUERAS PARA INODOROS </t>
  </si>
  <si>
    <t>MANOMETRO PARA TANQUE PRESURISADO</t>
  </si>
  <si>
    <t xml:space="preserve">MEZCLADORA DE LAVAMANOS  2 HOYO OCEAN </t>
  </si>
  <si>
    <t>MEZCLADORA DE LAVAMANOS DE UN HOYO</t>
  </si>
  <si>
    <t>MEZCLADORA PARA FREGADERO DE 2 OLLOS</t>
  </si>
  <si>
    <t xml:space="preserve">NIPLE DE 1/2 X3 CROMADOS </t>
  </si>
  <si>
    <t xml:space="preserve">NIPLE DE 3/8 X3 CROMADOS </t>
  </si>
  <si>
    <t xml:space="preserve">PERITAS DE INODOROS </t>
  </si>
  <si>
    <t xml:space="preserve">REDUCCION DE 2 X 3/4 PVC </t>
  </si>
  <si>
    <t xml:space="preserve">REDUCCION DE 3/4 X 1/2 PVC </t>
  </si>
  <si>
    <t>REDUCTORES BUSHING DE 3/4 X 1/2 PVC</t>
  </si>
  <si>
    <t>REJILLA DE PISO PARA DESAGUE DE 1 1/2</t>
  </si>
  <si>
    <t>ROLLOS DE TEFLON 3/4</t>
  </si>
  <si>
    <t>SEPARADORES DE PARED PARA CRISTAL ACERO INOXIDABLE</t>
  </si>
  <si>
    <t>SIFON DE DRENAJE 2X2</t>
  </si>
  <si>
    <t>SILICON ACRILICO</t>
  </si>
  <si>
    <t xml:space="preserve">SWITCH DE PRESION PARA BOMBAS DE AGUA </t>
  </si>
  <si>
    <t>TAPAS DE INODOROS  REDONDAS COLOR BLANCO</t>
  </si>
  <si>
    <t xml:space="preserve">TAPON CIEGO DE 1/2 PVC </t>
  </si>
  <si>
    <t xml:space="preserve">TAPON CIEGO DE 3/4 PVC </t>
  </si>
  <si>
    <t xml:space="preserve">TEE DE 1 PVC </t>
  </si>
  <si>
    <t>TEE DE 1/2 PVC</t>
  </si>
  <si>
    <t xml:space="preserve">TEE DE 3/4 PVC </t>
  </si>
  <si>
    <t>TORNILLO PARA BACINETA DE METAL (JUEGO)</t>
  </si>
  <si>
    <t>TORNILLO PARA TANQUE DE INODORO (JUEGO)</t>
  </si>
  <si>
    <t>TUBOS  DE 3 PVC</t>
  </si>
  <si>
    <t xml:space="preserve">TUBOS DE 1 1/2  SCH 40 PVC </t>
  </si>
  <si>
    <t xml:space="preserve">TUBOS DE 1 SCH 40 PVC </t>
  </si>
  <si>
    <t xml:space="preserve">TUBOS DE 1/2 SDR 41 PVC </t>
  </si>
  <si>
    <t xml:space="preserve">TUBOS DE 2 SDR 41 PVC </t>
  </si>
  <si>
    <t>TUBOS DE 3/4 SDR 41 PVC</t>
  </si>
  <si>
    <t>UNION UNIVERSAL DE 2 PPR VERDE</t>
  </si>
  <si>
    <t xml:space="preserve">URINAL </t>
  </si>
  <si>
    <t>VALVULA DE INODOROS FLUXOMETRO</t>
  </si>
  <si>
    <t xml:space="preserve">YEE DE 2X2 PVC </t>
  </si>
  <si>
    <t xml:space="preserve">YEE DE 3X2 PVC </t>
  </si>
  <si>
    <t xml:space="preserve">YEE DE 4X4 PVC </t>
  </si>
  <si>
    <t xml:space="preserve">YEE DE1 1/2X2 PVC </t>
  </si>
  <si>
    <t>Aire Acondicinado</t>
  </si>
  <si>
    <t>ANTORCHA DOBLE QUEMADOR PARA MAPP-GAS</t>
  </si>
  <si>
    <t>ANTORCHA PARA MAPP-GAS (SOLO LA VALVULA)</t>
  </si>
  <si>
    <t>ANTORCHA SENCILLA PARA MAPP-GAS</t>
  </si>
  <si>
    <t>BASE PARA AIRE</t>
  </si>
  <si>
    <t>CAPACITORES DE 25</t>
  </si>
  <si>
    <t>CAPACITORES MFD  DE 30</t>
  </si>
  <si>
    <t>CAPACITORES MFD  DE 35</t>
  </si>
  <si>
    <t>CAPACITORES MFD  DE 40</t>
  </si>
  <si>
    <t>CAPACITORES MFD  DE 45</t>
  </si>
  <si>
    <t>CAPACITORES MFD  DE 50</t>
  </si>
  <si>
    <t>CAPACITORES MFD  DE 60</t>
  </si>
  <si>
    <t>CAPACITORES MFD DE 55</t>
  </si>
  <si>
    <t>DIFUSORES 4X2 TIPO REJILLA</t>
  </si>
  <si>
    <t>FILTRO DE SECADO PARA AIRES EN BRONCE</t>
  </si>
  <si>
    <t>MAPP-GAS PARA SOLDAR DE 16 ONZAS</t>
  </si>
  <si>
    <t>POWER PACK GRANDES  P/ COMP.  AIRE</t>
  </si>
  <si>
    <t>POWER PACK PEQUEÑOS  P/ COMP. AIRE</t>
  </si>
  <si>
    <t>ROLLO DE TUBERIA 1/2 PARA AIRE</t>
  </si>
  <si>
    <t xml:space="preserve">ROLLO </t>
  </si>
  <si>
    <t>ROLLO DE TUBERIA 1/4 PARA AIRE</t>
  </si>
  <si>
    <t xml:space="preserve">ROLLO DE TUBERIA 3/4 PARA AIRE </t>
  </si>
  <si>
    <t>ROLLO DE TUBERIA 3/8 PARA AIRE</t>
  </si>
  <si>
    <t xml:space="preserve">ROLLO DE TUBERIA 5/8 PARA AIRE </t>
  </si>
  <si>
    <t>TANQUES</t>
  </si>
  <si>
    <t xml:space="preserve">TARJETA UNIVERSAL PARA AIRES ACONDICIONADOS </t>
  </si>
  <si>
    <t>TERMOSTATO AMB HOMY WELL DE AIRE</t>
  </si>
  <si>
    <t>TIJERAS PARA LATAS DE GAS 410</t>
  </si>
  <si>
    <t>VACUCEL DE 5/8</t>
  </si>
  <si>
    <t xml:space="preserve">VARILLA DE PLATA </t>
  </si>
  <si>
    <t>Mantenimientos de Vehiculos</t>
  </si>
  <si>
    <t>ACEITE PENETRANTE 11OZ WD-40</t>
  </si>
  <si>
    <t>Pintura/ Servicios Generales</t>
  </si>
  <si>
    <t xml:space="preserve">BANDEJA DE PINTURA PLASTICA </t>
  </si>
  <si>
    <t>CINTA ANTIDESLIZANTE 3M 2X60</t>
  </si>
  <si>
    <t>CLAVOS F-25 DE 3/4 PULGADA</t>
  </si>
  <si>
    <t>ESTOPA POR LIBRA</t>
  </si>
  <si>
    <t xml:space="preserve">EXTENCION PARA PINTAR </t>
  </si>
  <si>
    <t xml:space="preserve">GALON AGUARRAS TROPICAL </t>
  </si>
  <si>
    <t xml:space="preserve">GALON DE COLA DE CARPINTERIA </t>
  </si>
  <si>
    <t>GALON DE FERRER</t>
  </si>
  <si>
    <t>GALON DE LACA  SEMI MATE</t>
  </si>
  <si>
    <t>GALON DE LACA CON BRILLO</t>
  </si>
  <si>
    <t>GALON DE LACA PIGMENTADA BLANCA</t>
  </si>
  <si>
    <t xml:space="preserve">GALON DE RELLENO GRIS </t>
  </si>
  <si>
    <t xml:space="preserve">GALON DE RETARDADOR </t>
  </si>
  <si>
    <t>GALON DE SEALLER</t>
  </si>
  <si>
    <t xml:space="preserve">GALON </t>
  </si>
  <si>
    <t>LIJA DE AGUA No. 150</t>
  </si>
  <si>
    <t>LIJA DE AGUA No. 1500 AMARILLA</t>
  </si>
  <si>
    <t>LIJA DE AGUA No. 180</t>
  </si>
  <si>
    <t>LIJA DE AGUA No. 220</t>
  </si>
  <si>
    <t xml:space="preserve">LIJA DE AGUA No. 240  </t>
  </si>
  <si>
    <t>LIJA DE AGUA No. 320</t>
  </si>
  <si>
    <t>LIJA DE AGUA No. 360</t>
  </si>
  <si>
    <t>LIJA DE AGUA No. 500</t>
  </si>
  <si>
    <t>LIJA DE AGUA No. 600</t>
  </si>
  <si>
    <t>LIJA DE ESMERIL No. 40</t>
  </si>
  <si>
    <t>LIJA DE ESMERIL No. 80</t>
  </si>
  <si>
    <t>LIJA DE ESMERIL No.120</t>
  </si>
  <si>
    <t>LIJA DE ESMERIL No.60</t>
  </si>
  <si>
    <t>LONA PLASTICA 8X10</t>
  </si>
  <si>
    <t>MASKING TAPE AZUL (ROLLOS)</t>
  </si>
  <si>
    <t>MASKING TAPE VERDE (ROLLOS)</t>
  </si>
  <si>
    <t xml:space="preserve">MOTA ANTI GOTA </t>
  </si>
  <si>
    <t>OLEO No. 2</t>
  </si>
  <si>
    <t>OLEO No. 24 NEGRO</t>
  </si>
  <si>
    <t xml:space="preserve">OLEO No. 3  </t>
  </si>
  <si>
    <t>PINTURA ACRILICA  BLANCO 00 GALON</t>
  </si>
  <si>
    <t>PINTURA ACRILICA PORCELANA 90 GALON</t>
  </si>
  <si>
    <t>PINTURA AMARILLO TRAFICO ESMALTE</t>
  </si>
  <si>
    <t>PINTURA INDUSTRIAL BLANCO OO</t>
  </si>
  <si>
    <t>PINTURA INSTITUCIONAL AZUL 7707C EXTERIOR</t>
  </si>
  <si>
    <t>PINTURA INSTITUCIONAL NARANJA  165C EXTERIOR</t>
  </si>
  <si>
    <t>PISTOLA DE SILICON</t>
  </si>
  <si>
    <t>PORTA ROLO DE METAL PEQUEÑO</t>
  </si>
  <si>
    <t>RESBALADORES</t>
  </si>
  <si>
    <t>THINNERS TH 1000</t>
  </si>
  <si>
    <t>Herramientas</t>
  </si>
  <si>
    <t>ALICATE DE EXTENCION</t>
  </si>
  <si>
    <t>ARANDELAS DE 1/2</t>
  </si>
  <si>
    <t>ARANDELAS DE 3/8</t>
  </si>
  <si>
    <t>BARRA DE EXCAVACION</t>
  </si>
  <si>
    <t>BISAGRA TIPO LIBRO DE 3 1/2 X 3/ 1/2 (PARES)</t>
  </si>
  <si>
    <t>BISAGRAS SENCILLAS</t>
  </si>
  <si>
    <t xml:space="preserve">BRAZOS HIDRAULICOS PARA PUERTAS </t>
  </si>
  <si>
    <t xml:space="preserve">BROCHA DE 1 1/2 </t>
  </si>
  <si>
    <t xml:space="preserve">BROCHA DE 2 </t>
  </si>
  <si>
    <t>BROCHA DE 3</t>
  </si>
  <si>
    <t xml:space="preserve">BROCHA DE 4 </t>
  </si>
  <si>
    <t>BULTO DE HERRAMIENTAS 18 Truper</t>
  </si>
  <si>
    <t>CANDADOS DE 2</t>
  </si>
  <si>
    <t xml:space="preserve">CLAVO DE ZINC </t>
  </si>
  <si>
    <t>CLAVO DULCE DE 2 PULGADA</t>
  </si>
  <si>
    <t>CLAVO DULCE DE 3 PULGADA</t>
  </si>
  <si>
    <t>CLAVOS DE ACERO DE 1,1 1/2 FINO</t>
  </si>
  <si>
    <t xml:space="preserve">CLAVOS DE ACERO DE 3 NORMALES </t>
  </si>
  <si>
    <t xml:space="preserve">CLAVOS DE DULCE DE 2 </t>
  </si>
  <si>
    <t xml:space="preserve">CRISTALES NEGROS NO.12 PARA CARETA DE SOLDAR </t>
  </si>
  <si>
    <t xml:space="preserve">CUBETA DE MASILLA PARA SHEETROCK </t>
  </si>
  <si>
    <t>DISCO DE CORTE 7 PULGADAS</t>
  </si>
  <si>
    <t>DISCO DE CORTE 9.5  PULGADAS</t>
  </si>
  <si>
    <t>DISCO DE PULIR NO.80</t>
  </si>
  <si>
    <t>ESPATULA DE 2</t>
  </si>
  <si>
    <t>ESPATULA DE 3</t>
  </si>
  <si>
    <t>ESPATULAS PLASTICAS VERDE</t>
  </si>
  <si>
    <t>GAFAS DE SEGURIDAD TRANSPARENTE</t>
  </si>
  <si>
    <t>JUEGO DE DETORNILLADORES PLANO ELECTRICO DE 600V</t>
  </si>
  <si>
    <t xml:space="preserve">JUEGO DE FORMON </t>
  </si>
  <si>
    <t>LIMA DE TRES CARAS BELLOTA</t>
  </si>
  <si>
    <t>LLAVINES PARA  PUERTA CON PUÑO</t>
  </si>
  <si>
    <t>LLAVINES TIPO CERROJO PARA PUERTA DE MADERA</t>
  </si>
  <si>
    <t xml:space="preserve">MANGUERA (PARA JARDIN SIN CONECTORES) DE 100 PIES </t>
  </si>
  <si>
    <t>MASCARILLAS PROTECCION (PARTICULAS /HUMO)</t>
  </si>
  <si>
    <t>MAZETA DE 2 LIBRA 16 OZ DE GOMA</t>
  </si>
  <si>
    <t>MAZETA DE 2 LIBRA DE HIERRO</t>
  </si>
  <si>
    <t>MAZETA DE 3 LIBRAS DE HIERRO</t>
  </si>
  <si>
    <t>MECHA PLANA DE 3/8</t>
  </si>
  <si>
    <t>MECHAS MECANICAS DE 1/2</t>
  </si>
  <si>
    <t>MECHAS MECANICAS DE 1/4</t>
  </si>
  <si>
    <t>MECHAS MECANICAS DE 3/8</t>
  </si>
  <si>
    <t>NUMEROS PARA IDENTIFICACION</t>
  </si>
  <si>
    <t>ODOMETRO (RUEDA METRICA 10 KM)</t>
  </si>
  <si>
    <t xml:space="preserve">PATA DE CHIVO PARA PUERTAS </t>
  </si>
  <si>
    <t xml:space="preserve">PESTILLO DE 3 </t>
  </si>
  <si>
    <t xml:space="preserve">PESTILLO DE 5/8 </t>
  </si>
  <si>
    <t>PESTILLO PARA CANDADO</t>
  </si>
  <si>
    <t>RASTRILLOS DE 28 GANCHOS PLASTICOS</t>
  </si>
  <si>
    <t>REMACHE ALUMINIO AA 1/8X3/8 CH</t>
  </si>
  <si>
    <t>REMACHE ALUMINIO AA 5/32X3/8 CH</t>
  </si>
  <si>
    <t>ROCETAS</t>
  </si>
  <si>
    <t>ROCETAS DE LUJO</t>
  </si>
  <si>
    <t>SEGUETA BIMETAL</t>
  </si>
  <si>
    <t>TAIRRAP No. 14 PLASTICO</t>
  </si>
  <si>
    <t>TALADRO ROTOMARTILLO BOSCH</t>
  </si>
  <si>
    <t xml:space="preserve">TARUGO DE PLOMO DE 1/2 CON SU TORNILLO </t>
  </si>
  <si>
    <t>TARUGO PARA SHEETROCK</t>
  </si>
  <si>
    <t>TARUGOS AZUL</t>
  </si>
  <si>
    <t>TARUGOS DE METAL  DE ½</t>
  </si>
  <si>
    <t xml:space="preserve">TARUGOS MAMEY </t>
  </si>
  <si>
    <t>TARUGOS VERDE</t>
  </si>
  <si>
    <t xml:space="preserve">TIRADOR DE GABETEROS </t>
  </si>
  <si>
    <t xml:space="preserve">TORNILLO DE METAL DE 1/2 CON TUERCAS </t>
  </si>
  <si>
    <t xml:space="preserve">TORNILLOS 5/16X1 1/4 CON TUERCA Y ARANDELA </t>
  </si>
  <si>
    <t xml:space="preserve">TORNILLOS 5/8X2 1/2 CON TUERCA Y ARANDELA </t>
  </si>
  <si>
    <t>TORNILLOS DIABLITOS 1 1/2X8</t>
  </si>
  <si>
    <t>TORNILLOS DIABLITOS 1X8</t>
  </si>
  <si>
    <t>TORNILLOS DIABLITOS 2 1/2X10</t>
  </si>
  <si>
    <t>TORNILLOS DIABLITOS 2X10</t>
  </si>
  <si>
    <t>TORNILLOS DIABLITOS 2X8</t>
  </si>
  <si>
    <t>TORNILLOS DIABLITOS 3X10</t>
  </si>
  <si>
    <t>TORNILLOS DIABLITOS 3X14</t>
  </si>
  <si>
    <t>TRAJES IMPERMEABLES AMARILLOS</t>
  </si>
  <si>
    <t xml:space="preserve">Mantenimiento </t>
  </si>
  <si>
    <t>CINTA PARA SHETROCK</t>
  </si>
  <si>
    <t>PLANCHA DE PLAFON MINERAL DE 2X2</t>
  </si>
  <si>
    <t>PLANCHAS DE PLYWOOD 1/2</t>
  </si>
  <si>
    <t>PLANCHAS DE PLYWOOD 3/4</t>
  </si>
  <si>
    <t>PLANCHAS DE SHEETROCK DE 4X8 DE 1/2</t>
  </si>
  <si>
    <t>TABLAS 11/2 X10 PINO TRATADO</t>
  </si>
  <si>
    <t>TABLAS 11/2X10X10 BRUTA TRATADA</t>
  </si>
  <si>
    <t>TABLAS 1X10X14 BRUTA TRATADA</t>
  </si>
  <si>
    <t xml:space="preserve">TABLAS 1X6X14 CEPILLADA </t>
  </si>
  <si>
    <t>TABLAS 1X8X16 CEPILLADA</t>
  </si>
  <si>
    <t>TABLAS 2X4X16 PINO TRATADO</t>
  </si>
  <si>
    <t xml:space="preserve">Equipos </t>
  </si>
  <si>
    <t>BOMBA DE AIRE MANUAL (PARA GOMAS)</t>
  </si>
  <si>
    <t>BOMBA LEO TRIFASICA DE 5.5 HP</t>
  </si>
  <si>
    <t xml:space="preserve">CARRETILLA </t>
  </si>
  <si>
    <t xml:space="preserve">CARRITOS DE CARGA CON RUEDAS </t>
  </si>
  <si>
    <t>CINCEL 3/4X12 PUNTA PLANA</t>
  </si>
  <si>
    <t>CINTA METRICA DE 5O METROS</t>
  </si>
  <si>
    <t>CINTA PARA PODADORA (0.80)</t>
  </si>
  <si>
    <t>COA 3 1/2 NO.8</t>
  </si>
  <si>
    <t>CUBO DE GOMA NO.10 MEZCLA</t>
  </si>
  <si>
    <t xml:space="preserve">DESTORNILLADOR PLANO DE PUNTA PLANA RECTA </t>
  </si>
  <si>
    <t>ESCALERA TIJERA FIBRA DE 12</t>
  </si>
  <si>
    <t xml:space="preserve">ESCUADRA DE METAL </t>
  </si>
  <si>
    <t>ESMERILADORA DE 1/2 HP PARA BANCO Trupar</t>
  </si>
  <si>
    <t>LLAVE TIRSON DE 18 MM</t>
  </si>
  <si>
    <t>LLAVE TIRSON DE 24MM</t>
  </si>
  <si>
    <t xml:space="preserve">LLAVE TIRSON DE 36MM </t>
  </si>
  <si>
    <t>MACHETE 22</t>
  </si>
  <si>
    <t>MARCO SEGUETA ATT-12</t>
  </si>
  <si>
    <t>PALA CUADRADA MGO. CORTO PCYP</t>
  </si>
  <si>
    <t xml:space="preserve">PALA EXCAVADORA </t>
  </si>
  <si>
    <t>PATA DE CABRA 3/4 X36 BU-90</t>
  </si>
  <si>
    <t xml:space="preserve">PISTOLA DE COMPRESOR PARA PINTAR </t>
  </si>
  <si>
    <t xml:space="preserve">PLANA DE BELLOTA </t>
  </si>
  <si>
    <t>PORTA ECTRODOS</t>
  </si>
  <si>
    <t xml:space="preserve">PULIDORA  ELECTRICA DE 9 PULGADAS </t>
  </si>
  <si>
    <t>PULIDORA VIBRADORA DE 1/4</t>
  </si>
  <si>
    <t>RASTRILLO METAL</t>
  </si>
  <si>
    <t>TANQUE DE PRESION REFORSADO INTERIOR DE FIBRA DE VIDRIO DE 120 GALONES</t>
  </si>
  <si>
    <t>Articulos Con el Logo del INTRANT</t>
  </si>
  <si>
    <t>BOQUILLAS ALCOHOLIMETROS ALCO SENSOR  ASVXL</t>
  </si>
  <si>
    <t>BOQUILLAS ALCOHOLIMETROS ALCO SENSOR MOD. FST</t>
  </si>
  <si>
    <t>CHALECOS REFLECTIVOS CON LOGO INTRANT 2 COLORES</t>
  </si>
  <si>
    <t>CONOS REFLECTIVOS CON LOGOS DE INTRANT 2 BANDAS REFLECTIVAS MEDIDAS 68 CM  67X67 CM</t>
  </si>
  <si>
    <t>DELIMITADOR O VALLA DE TRAFICO CON LOGO INTRANT, PLASTICO  110 CMX60 CM.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</si>
  <si>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</si>
  <si>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</si>
  <si>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>SILBATOS DE METAL</t>
  </si>
  <si>
    <t xml:space="preserve">TOTAL GENERAL </t>
  </si>
  <si>
    <r>
      <t xml:space="preserve">Revisado Y Supervisado por: </t>
    </r>
    <r>
      <rPr>
        <b/>
        <sz val="11"/>
        <color theme="1"/>
        <rFont val="Calibri"/>
        <family val="2"/>
        <scheme val="minor"/>
      </rPr>
      <t>Ing. Dauris Alb. Diaz Jimenez</t>
    </r>
  </si>
  <si>
    <t>Encargado Sección de Almacén y Suministro</t>
  </si>
  <si>
    <t>Secretaria de la  Sección de Almacén y Suministro</t>
  </si>
  <si>
    <t>BUZONES  PARA DEPOSITAR RECOMENDACIÓN EN ACRILICO</t>
  </si>
  <si>
    <t>EXHIBIDORES DE FLAYERS PUBLICITARIO EN ACRILICO</t>
  </si>
  <si>
    <r>
      <t xml:space="preserve">Preparado por: </t>
    </r>
    <r>
      <rPr>
        <b/>
        <sz val="11"/>
        <color theme="1"/>
        <rFont val="Calibri"/>
        <family val="2"/>
        <scheme val="minor"/>
      </rPr>
      <t>Lic.Sally Suriel Medrano</t>
    </r>
  </si>
  <si>
    <t>PAPEL TOALLA P/BAÑOS 6/1</t>
  </si>
  <si>
    <t xml:space="preserve"> ESCOBAS</t>
  </si>
  <si>
    <t>PLANCHAS DE PLYWOOD 1/4</t>
  </si>
  <si>
    <t>TORNILLOS TIRAFONDOS 1/2 TIRAFONDOS</t>
  </si>
  <si>
    <t xml:space="preserve">GALON DE CLORO </t>
  </si>
  <si>
    <t>Protocolo</t>
  </si>
  <si>
    <t>PIES</t>
  </si>
  <si>
    <t>TAPAS DE CAJAS GENERICAS PARA ARCHIVO 10 PULG. DE FONDO 14 1/2 DE ANCHO Y 25 LARGO (SOLO TAPA</t>
  </si>
  <si>
    <t xml:space="preserve">CUBRE FALTA DE 1/2 </t>
  </si>
  <si>
    <t>CUBRE FALTA DE 3/8</t>
  </si>
  <si>
    <t>JUNTA DRESSEN DE 1 1/2 PULGADA (UNIONES UNIVERSALES)</t>
  </si>
  <si>
    <t>LLAVE ANGULARES DOBLE DE 3/8 X 3/8</t>
  </si>
  <si>
    <t xml:space="preserve">LLAVE ANGULARES DOBLE DE1/2 X 3/8 </t>
  </si>
  <si>
    <t>MEZCLADORA DE LAVAMANOS CROMADA DE UN OLLO</t>
  </si>
  <si>
    <t>REDUCTORES BUSHING DE 2 X 1 1/2 PVC</t>
  </si>
  <si>
    <t>TAPON CIEGO CON ROSCA 1 1/2 PVC</t>
  </si>
  <si>
    <t>SILICON TRANSPARENTE GRADO INDUSTRIAL</t>
  </si>
  <si>
    <t>VALVULA DE ENTRADA 3/4 COMPLETAS (TINACO Y CISTERNA)</t>
  </si>
  <si>
    <t xml:space="preserve">YEE DE 3X3 PVC </t>
  </si>
  <si>
    <t>DIFUSORES 6X8 TIPO REJILLA (GRANDE)</t>
  </si>
  <si>
    <t>CONTROL UNIVERSAL  PARA AIRE SPLIT</t>
  </si>
  <si>
    <t>TANQUE DE GAS REFRIGERANTE 410 (DE 22 LIBRAS)</t>
  </si>
  <si>
    <t>TANQUE DE GAS REFRIGERANTE R-22 (DE 22 LIBRAS)</t>
  </si>
  <si>
    <t xml:space="preserve">TIMER GENERICO (DELAY) GAIR </t>
  </si>
  <si>
    <t>VACUCEL DE 3/8 X 3/8</t>
  </si>
  <si>
    <t>VACUCEL DE 1 1/2 X 3/8</t>
  </si>
  <si>
    <t>CLAVOS F-50 DE 50MM  DE1 1/2 PULGADA</t>
  </si>
  <si>
    <t>CLAVOS F-40 DE 50MM  DE 2 PULGADA</t>
  </si>
  <si>
    <t>ALICATE MECANICO 10 REEYN KRAT</t>
  </si>
  <si>
    <t>ALICATE NO.8 STANLEY</t>
  </si>
  <si>
    <t>ALICATE PELA CABLE AUTOMATICO PEC-AUT  STANLEY</t>
  </si>
  <si>
    <t>BISAGRAS DE PRESION EN PARES (SIEGAS)</t>
  </si>
  <si>
    <t xml:space="preserve">GALONES DE CARBOXOTA </t>
  </si>
  <si>
    <t>JUEGOS DE CUBOS  24 Piesas HOTECHE</t>
  </si>
  <si>
    <t>JUEGOS DE MECHAS PARED TRUPER</t>
  </si>
  <si>
    <t>DISCO PARA PULIR METAL PEQUEÑO</t>
  </si>
  <si>
    <t>CINTA ANTIDESLIZANTE DE 1 PULGADA BEST VALUE</t>
  </si>
  <si>
    <t>LLAVIN PARA PUERTA FLOTANTE</t>
  </si>
  <si>
    <t>CINTA GRIS DE AIRE ACONDICIONADO DE 2 PULGADAS SURTEK</t>
  </si>
  <si>
    <t>LLAVINES PARA GAVETAS ESCRITORIO TALLO CORTO</t>
  </si>
  <si>
    <t>LLAVINES PARA  GAVETAS ESCRITORIO (TALLO LARGO)</t>
  </si>
  <si>
    <t>LLAVINES PARA PUERTA DE CRISTAL</t>
  </si>
  <si>
    <t xml:space="preserve">MANGUERA  DE 3/4 (PARA JARDIN VERDES COMPLETAS) DE 100 PIES </t>
  </si>
  <si>
    <t>MAZETA DE 6 LIBRAS DE HIERRO</t>
  </si>
  <si>
    <t>MECHA  PLANA  DE 1 PULGADA</t>
  </si>
  <si>
    <t>MECHA PLANA DE 1/2 PULGADA</t>
  </si>
  <si>
    <t>MECHA PLANA DE 3/4 PULGADA</t>
  </si>
  <si>
    <t>PUNTA ESTRIAS No. 2 (PEQUE{AS)</t>
  </si>
  <si>
    <t>PUNTAS DE ESTRIAS No. 2 (GRANDES)</t>
  </si>
  <si>
    <t>SAQUETA PARA  ELECTRICISTA</t>
  </si>
  <si>
    <t>TIRADORES PARA PUERTAS</t>
  </si>
  <si>
    <t>MAZETA DE GOMA DE 8 ONZAS</t>
  </si>
  <si>
    <t>PINZA DE CORTE DE 8 PULGADAS</t>
  </si>
  <si>
    <t>TORNILLO CON TUERCA  DE 1 PULGADA</t>
  </si>
  <si>
    <t>TORNILLOS DE ALUCIN DE 2 1/2</t>
  </si>
  <si>
    <t>TORNILLOS PARA  SHEETROCK</t>
  </si>
  <si>
    <t>TORNILLOS DE ALUZINC DE 1 PULGADA</t>
  </si>
  <si>
    <t>TORNILLOS DE ALUZINC DE 1 1/2 PULGADA</t>
  </si>
  <si>
    <t>CARETA PARA SOLDAR COMPLETA</t>
  </si>
  <si>
    <t>CONECTORES MEDIA LUNA DE 3/4 DE PULGADAS</t>
  </si>
  <si>
    <t>CONECTORES MEDIA LUNA DE 1/2 DE PULGADAS</t>
  </si>
  <si>
    <t>CEMENTO BLANCO DE 2 LIBRAS</t>
  </si>
  <si>
    <t>CEMENTO BLANCO DE 25 KG</t>
  </si>
  <si>
    <t>CINCEL 5/8 PLANO</t>
  </si>
  <si>
    <t>JUEGO DE DESTORNILLADORES PLANOS TOTAL VERDE</t>
  </si>
  <si>
    <t xml:space="preserve">JUEGOS DE LLAVES ALLEN TOTAL </t>
  </si>
  <si>
    <t xml:space="preserve">LLANA LISA </t>
  </si>
  <si>
    <t>MANGUERA PLASTICA PARA JARDIN DE 25 PIES</t>
  </si>
  <si>
    <t>NIVEL PARA ALBAÑIL</t>
  </si>
  <si>
    <t>PICO COMPLETO</t>
  </si>
  <si>
    <t>REMACHADORA 3 BOCA RE-9 TRUPPER</t>
  </si>
  <si>
    <t>TALADRO DE MADRIL DE GOMA TRUPPER</t>
  </si>
  <si>
    <t>CAMAROTES DOBLES</t>
  </si>
  <si>
    <t>PORTA BANDERINES (PARQUE CIUDAD JUAN BOSCH)</t>
  </si>
  <si>
    <t>VARILLA PARA INCAR BANDERINES</t>
  </si>
  <si>
    <t>EXTENCION MEDIDOR DE AIRE</t>
  </si>
  <si>
    <t>CARPETA COLGANTE PENDAFLEX 81/2X11</t>
  </si>
  <si>
    <t xml:space="preserve">STOCK    FISICO ENERO 2021 </t>
  </si>
  <si>
    <t>PAQUETES</t>
  </si>
  <si>
    <t>MOVIMIENTOS POST-TOMA DE MUESTRA</t>
  </si>
  <si>
    <t>STOCK    FISICO ENERO 2021</t>
  </si>
  <si>
    <t>ENTRADAS FEBRERO 2021</t>
  </si>
  <si>
    <t>REQUISICIONES FEBRERO 2021</t>
  </si>
  <si>
    <t>SUB-TOTAL MATERIAL GASTABLE</t>
  </si>
  <si>
    <t>SUB-TOTAL INSUMOS</t>
  </si>
  <si>
    <t>SUB-TOTAL MAYORDOMIA</t>
  </si>
  <si>
    <t>SUB-TOTAL PROTOCOLO</t>
  </si>
  <si>
    <t>SUB-TOTAL ELECTRICOS</t>
  </si>
  <si>
    <t>SUB-TOTAL PLOMERIA</t>
  </si>
  <si>
    <t>SUB-TOTAL AIRE ACONDICIONADO.</t>
  </si>
  <si>
    <t>SUB-TOTAL MANT. DE VEHICULOS</t>
  </si>
  <si>
    <t>SUB-TOTAL PINTURA</t>
  </si>
  <si>
    <t>SUB-TOTAL HERRAMIENTAS</t>
  </si>
  <si>
    <t>SUB-TOTAL MANTENIMIENTO</t>
  </si>
  <si>
    <t>SUB-TOTAL EQUIPOS</t>
  </si>
  <si>
    <t>SUB-TOTAL ARTICULOS LOGO INTRANT</t>
  </si>
  <si>
    <t xml:space="preserve">CAFÉ STO DGO PAQ 1 LIBRA </t>
  </si>
  <si>
    <t>CUBETA CON EXPRIMIDOR</t>
  </si>
  <si>
    <t xml:space="preserve"> </t>
  </si>
  <si>
    <t>LEY IMPRESAS PARA ADULTOS</t>
  </si>
  <si>
    <t>ENTRADAS MARZO 2021</t>
  </si>
  <si>
    <t>REQUISICIONES MARZO 2021</t>
  </si>
  <si>
    <t>STOCK MARZO 2021</t>
  </si>
  <si>
    <t>STOCK  FEBRERO 2021</t>
  </si>
  <si>
    <t>VASOS DESECHABLE DE CAFE Nc. 2  24/1</t>
  </si>
  <si>
    <t>CREMORA COUNTRY BARN 23 ONZ.</t>
  </si>
  <si>
    <t>SUPLIDOR</t>
  </si>
  <si>
    <t>SUPLISTORE</t>
  </si>
  <si>
    <t>PAPEL JUMBO JUNIOR TIPO DISCO  (NIVEO)</t>
  </si>
  <si>
    <t>PAPEL TOALLA P/BAÑOS 6/1 (NIVEO)</t>
  </si>
  <si>
    <t>MAROTAC COM.</t>
  </si>
  <si>
    <t>GRAPADORA POINTER  (PEQUEÑA , PARA 25 HOJAS)</t>
  </si>
  <si>
    <t>CASCOS MOTOCROSS NEGROS XL</t>
  </si>
  <si>
    <t>BORRANTE DE LECHE GRANDE BEIFA</t>
  </si>
  <si>
    <t>BANDEJA METAL DE DOS NIVELES (2/1) TALBOT NEGRA</t>
  </si>
  <si>
    <t>VELEZ IMPORT S.R.L</t>
  </si>
  <si>
    <t>BANDEJA METAL DE TRES NIVELES (3/1) TALBOT NEGRA</t>
  </si>
  <si>
    <t>CINTA ADHESIVA  3/4 HIGHLAND</t>
  </si>
  <si>
    <t xml:space="preserve">LABELS PARA FOLDERS VERDES BEIFA </t>
  </si>
  <si>
    <t>GRAPA STANDARD SYSABE</t>
  </si>
  <si>
    <t>LAPIZ DE CARBON NO. 2 OFIMAC</t>
  </si>
  <si>
    <t>LIBRETA RAYADA BLANCA  5X8 VELEZ</t>
  </si>
  <si>
    <t>MAQUINA ENCUADERNAR EN ESPIRAL OFIMAX</t>
  </si>
  <si>
    <t>EXENTO</t>
  </si>
  <si>
    <t>PORTA LAPIZ EN METAL NEGRO TALBOT</t>
  </si>
  <si>
    <t>RESALTADOR AMARILLO TIPO LAPIZ BISELADO OFINOTA</t>
  </si>
  <si>
    <t>ROLLO DE PAPEL PARA SUMADORA (ROLLO BLANCO) B-24 REGULAR ABBY</t>
  </si>
  <si>
    <t xml:space="preserve">TINTA HP 711 YELLOW DESIGNJET </t>
  </si>
  <si>
    <t>LIBRETA RAYADA BLANCA 8½ X 11 VELEZ</t>
  </si>
  <si>
    <t>PIZARRA DE CORCHO 24X36</t>
  </si>
  <si>
    <t>PIZARRA DE CORCHO QUARTEC 24X36</t>
  </si>
  <si>
    <t>OFFITEK,S.R.L</t>
  </si>
  <si>
    <t>30/3/20213</t>
  </si>
  <si>
    <t>PIZARRA MAGICA BLANCA QUARTEC 24X35</t>
  </si>
  <si>
    <t>LAPICEROS AZUL FABEL-CASTELL</t>
  </si>
  <si>
    <t>LAPICEROS NEGRO FABEL-CASTELL</t>
  </si>
  <si>
    <t>LAPICEROS ROJO FABEL-CASTELL</t>
  </si>
  <si>
    <t xml:space="preserve">PERFORADORA DE 2 HOYOS </t>
  </si>
  <si>
    <t xml:space="preserve">MASCARILLAS QUIRURGICAS </t>
  </si>
  <si>
    <t>ZAFACON PARA OFICINA DE METAL 265X266</t>
  </si>
  <si>
    <t>CUBETAS PQUEÑAS CON EXPRIMIDOR (ROJAS)</t>
  </si>
  <si>
    <t>FUNDAS NO.30 TRANSPARENTE</t>
  </si>
  <si>
    <t>CLIPS No. 1 SOLUTECH  (PEQ.)</t>
  </si>
  <si>
    <t>JIMENEZ CRUZ S.R.L</t>
  </si>
  <si>
    <t>CLIPS No. 2 TALBOT  (JUMBO)</t>
  </si>
  <si>
    <t>CARPETA COLGANTE AMPOFLEX 8 1/2X14 (25/1) FORDEL CAJA</t>
  </si>
  <si>
    <t>CAJAS GENERICAS PARA ARCHIVAR 8 1/2 X11</t>
  </si>
  <si>
    <t>ROLLO DE PAPEL PARA PLOTTER ABBY  24X151</t>
  </si>
  <si>
    <t>FOLDERS C/B SATINADO TALBOT BLANCO</t>
  </si>
  <si>
    <t>BOLSAS DE TELA INSTITUCIONALES</t>
  </si>
  <si>
    <t>BROTHERS SUPPLY</t>
  </si>
  <si>
    <t xml:space="preserve">RESMA DE PAPEL PRINTON 8½ X 11  </t>
  </si>
  <si>
    <t>RESMA DE PAPEL NAVIAGATOR PLATINIUM  8½ X 14</t>
  </si>
  <si>
    <t>LIJA DE ESMERIL No.60 EN YARDAS (PLIEGOS)</t>
  </si>
  <si>
    <t>LIJA DE ESMERIL No.80 EN YARDAS (PLIEGOS)</t>
  </si>
  <si>
    <t>LIJA DE ESMERIL No.120 EN YARDAS (PLIEGOS)</t>
  </si>
  <si>
    <t>ENTRADAS ABRIL 2021</t>
  </si>
  <si>
    <t>REQUISICIONES ABRIL 2021</t>
  </si>
  <si>
    <t>STOCK ABRIL 2021</t>
  </si>
  <si>
    <t>POST-IT  3*3 BEIFA AMARILLO (NOTAS ADHESIVAS)</t>
  </si>
  <si>
    <t>SUPLIDORA RENMA, S.RL</t>
  </si>
  <si>
    <t>PORTA CLIPS BEIFA REDONDO MAGNETICO</t>
  </si>
  <si>
    <t>BORRADOR PARA PIZARRA ARTESCO STARDARD</t>
  </si>
  <si>
    <t>TIZA CRAYOLA BLANCA</t>
  </si>
  <si>
    <t xml:space="preserve">SACAPUNTAS DE METAL DE UN HOYO </t>
  </si>
  <si>
    <t>LAMPARA FLUORECENTE 60X60 CM (PARA TUBOS NORMALES)</t>
  </si>
  <si>
    <t>LAMPARA FLUORECENTE 120X60 CM  (PARA TUBOS NORMALES)</t>
  </si>
  <si>
    <t>LAMPARA LED 60X60 CM  (TERMINACION EN ALUMINIO)</t>
  </si>
  <si>
    <t>LAMPARA LED 60X60 CM  (TERMINACION BLANCA)</t>
  </si>
  <si>
    <t xml:space="preserve">LAMPARA  LED CIRCULAR DE 3 PULGADA DIAMETRO, 6500K EMPOTRADO </t>
  </si>
  <si>
    <t xml:space="preserve">LAMPARA LED CIRCULAR DE  6 PULGADA  DIAMETRO, 6500K EMPOTRADO </t>
  </si>
  <si>
    <t xml:space="preserve">LAMPARA  LED CUADRADA </t>
  </si>
  <si>
    <t>LAMPARA LED 56X24 CM IP65</t>
  </si>
  <si>
    <t>LAMPARA TIPO COBRA DE 2 OJOS LED 74X24 CM</t>
  </si>
  <si>
    <t xml:space="preserve">LAMPARA LED 124X20 CM </t>
  </si>
  <si>
    <t>GAFAS PROTECTORAS PARA SOLDAR (NEGRAS).</t>
  </si>
  <si>
    <t>GUANTES OBRERO DOBLE REFUERZO</t>
  </si>
  <si>
    <t>MANATECH GROUP SRL,</t>
  </si>
  <si>
    <t>PENDIENTE</t>
  </si>
  <si>
    <t>MOUSE LOGITECH M170 INALAMBRICO OPTICO, RECEPTOR USB, BLUE,(910-004800)</t>
  </si>
  <si>
    <t>MOUSE WIRELESS MOBILE</t>
  </si>
  <si>
    <t>CABLE HDMI XTECH, 6 PIES,NEGRO</t>
  </si>
  <si>
    <t>DEPUSHENG PROFESIONAL MIXING CONSOLE</t>
  </si>
  <si>
    <t>MICROFONOS XSW 1-825</t>
  </si>
  <si>
    <t>BATERÍA FORZA-12V – 7AM</t>
  </si>
  <si>
    <t>BOCINA KLIPX BLUPULSE 2.1 BLUETOOTH 60W/USB/SD/3.5/CNTRMT</t>
  </si>
  <si>
    <t>CÁMARA LOGITECH CONFERENCE CAM</t>
  </si>
  <si>
    <t>TABLETA 12.3 PULGADAS MICROSOFT SURFACE PRO 7 128 GB I5 8 GB RAM WITH WINDOWS 10 PRO WI-FI QUAD-CORE I5-1035G4 NEWEST VERSION PLATINIUM PVQ-0001 PULL 0656825A7</t>
  </si>
  <si>
    <t>CERTIFICADO SSL COMODÍN</t>
  </si>
  <si>
    <t>LAPTOP DE 14 PULGADAS 7VZ673 SMART BUY PROBOOK 445 G 7 R5-4500U 14 IN 16GB 256GB CPU: NOTEBK UPC: 019485068920 MFG PART: 3G342UT #ABA SERIAL 5CD107C4D3</t>
  </si>
  <si>
    <t>SUB-TOTAL TECNOLOGIA</t>
  </si>
  <si>
    <t>Tecnologia</t>
  </si>
  <si>
    <t>FOLDER 8½ X 11 OFICE NOTA ( UND )</t>
  </si>
  <si>
    <t>POST-IT  BANDERITAS OFIMAK</t>
  </si>
  <si>
    <t>CAFETERA ELECTRICA ADCRAFT DE 100 TAZAS ACERO INOXIDABLE</t>
  </si>
  <si>
    <t>EXHIBIDORES DE BANNER 100X70 PUBLICITARIO EN METAL</t>
  </si>
  <si>
    <t>BANDERA INSTITUCIONAL DEL INTRANT PARA INTERIOR</t>
  </si>
  <si>
    <t>BANDEROLAS INSTITUCIONALES (PROMOCIONALES)</t>
  </si>
  <si>
    <t>FOLDERS INSTITUCIONALES SATINADOS (CON BOLSILLOS)</t>
  </si>
  <si>
    <t>SOMBRILLAS INSTITUCIONALES</t>
  </si>
  <si>
    <t>SOBRE MANILA 10X15 AMARILLO 500/1</t>
  </si>
  <si>
    <t>SEÑALIZACION PARA PISO MOJADO</t>
  </si>
  <si>
    <t>FORTIGATE 80F HARDWARE PLUS 24X7 FORTICARE AND FORTIGUARD UNIFIED THREAT PROTECTION (UTP) SERIE: FGT80FTK20008973 C1AK17-20AA000</t>
  </si>
  <si>
    <t xml:space="preserve">FORTIGATE 60F HARDWARE PLUS 24X7 FORTICARE AND FORTIGUARD UNIFIED THREAT PROTECTION (UTP) SERIES:
 FGT60FTK21005359- FGT60FTK21005231
 FGT60FTK21003517- FGT60FTK21002624
</t>
  </si>
  <si>
    <t>FORTIGATE 1100E HARDWARE PLUS 24X7 FORTICARE AND FORTIGUARD UNIFIED THREAT PROTECTION (UTP) SERIE: FG10E0TB20901493 HWD: C1AJ67-03AA-0000</t>
  </si>
  <si>
    <t>SOBRE MANILA 10X17 AMARILLO 500/2</t>
  </si>
  <si>
    <t>SEÑALIZACION TOTAL SRL.</t>
  </si>
  <si>
    <t>LABELS PARA CODIGOS QR (EN ROLLOS)</t>
  </si>
  <si>
    <t>INVERSIONES TARAMACA, S.A</t>
  </si>
  <si>
    <t>l</t>
  </si>
  <si>
    <t>STICKERT ADHESIVOS PARA CRISTAL 3X2 (REGISTRO DE TRANSITO Y TRANSPORTE)</t>
  </si>
  <si>
    <t>STICKERT ADHESIVOS PARA CRISTAL 3X2  (REGISTRO DE TRANSITO Y TRANSPORTE)</t>
  </si>
  <si>
    <t>STICKERT ADHESIVOS PARA CRISTAL 10X8 (REGISTRO DE TRANSITO Y TRANSPORTE)</t>
  </si>
  <si>
    <t>ENTRADAS MAYO 2021</t>
  </si>
  <si>
    <t>REQUISICIONES MAYO 2021</t>
  </si>
  <si>
    <t>STOCK MAYO 2021</t>
  </si>
  <si>
    <t>PALITAS RECOGEDORAS CON SUJETADOR DE ESCOBA</t>
  </si>
  <si>
    <t>MARCADORES PARA  PIZARRA AZUL</t>
  </si>
  <si>
    <t>SPLITTER HDMI 1X4</t>
  </si>
  <si>
    <t>SACOS DE ACE (DETERGENTE EN POLVO YA) 30 LIBRAS</t>
  </si>
  <si>
    <t>LIBRAS</t>
  </si>
  <si>
    <t>GEL ANTIBACTERIAL GALON</t>
  </si>
  <si>
    <t>GEL ANTIBACTERIAL GALON BEAU CLEAN</t>
  </si>
  <si>
    <t>ALCOHOL AL 70% EN GALON BEAU CLEAN</t>
  </si>
  <si>
    <t>MAROCTAC COMERCIAL</t>
  </si>
  <si>
    <t>JABON LIQUIDO PARA LAVAR PLATOS</t>
  </si>
  <si>
    <t>JABON LIQUIDO PARA LAVAR PLATOS BEAU CLEAN</t>
  </si>
  <si>
    <t>LUYENS COMERCIAL</t>
  </si>
  <si>
    <t>GALON DE CLORO  CLOROX</t>
  </si>
  <si>
    <t>ZAFACON CON TAPA Y PEDAL BLANCO VANIPLAS</t>
  </si>
  <si>
    <t>INVERSIONES GRETMON</t>
  </si>
  <si>
    <t>FUNDAS NEGRAS PLASTICA 17X22  100/1</t>
  </si>
  <si>
    <t>PAÑITO DE COCINA POR JUEGO DE 3 PIEZAS</t>
  </si>
  <si>
    <t>DESINFECTANTE LIMPIADOR MULTIUSO (TIPO FAROLA) MARCA LIDER</t>
  </si>
  <si>
    <t>TOALLA PARA LIMPIAR CRISTAL MICROFIBRA (GRANDES AMARILLOS)</t>
  </si>
  <si>
    <t>TOALLA PARA LIMPIAR CRISTALES EN MICROFIBRA (GRANDES AMARILLA)</t>
  </si>
  <si>
    <t>TOALLA PARA LIMPIAR CRISTALES EN MICROFIBRA (PEQUEÑAS VARIOS COLORES)</t>
  </si>
  <si>
    <t>PIEDRA AMBIENTADORA PARA BAÑO VIRGINIA</t>
  </si>
  <si>
    <t>AMBIENTADORES SPRAY GLADE 8 ONZAS</t>
  </si>
  <si>
    <t>ATOMIZADORES 32 ONZA (ENVACES VACIOS)</t>
  </si>
  <si>
    <t>ATOMIZADORES 16 ONZA (ENVACES VACIOS)</t>
  </si>
  <si>
    <t>JABON LIQUIDO DE CUABA ACEL</t>
  </si>
  <si>
    <t>JUEGOS 3/1</t>
  </si>
  <si>
    <t xml:space="preserve">CONSORCIO ON </t>
  </si>
  <si>
    <t>ALTAVOZ Ix12</t>
  </si>
  <si>
    <t>SILVER TIGER BUSINESS</t>
  </si>
  <si>
    <t>PAQUETE DE 1 LIBRA</t>
  </si>
  <si>
    <t>SERVILLETAS CIELO  paq. 500/1</t>
  </si>
  <si>
    <t>TE DE MANZANILLAS POMPADOUR 10/1</t>
  </si>
  <si>
    <t>TE DE MANZANILLAS POMPADOUR 25/1</t>
  </si>
  <si>
    <t>TE FRIO FOOD CLUB</t>
  </si>
  <si>
    <t>STICKERT ADHESIVOS JUEGOS (2 PARA PUERTA -1 PARA CRISTAL) 3X2 Y 8X10 (REGISTRO DE TRANSITO Y TRANSPORTE)</t>
  </si>
  <si>
    <t>STICKERT ADHESIVOS PARA PUERTA 10X8 (REGISTRO DE TRANSITO Y TRANSPORTE)</t>
  </si>
  <si>
    <t>CAJAS GENERICAS PARA ARCHIVAR FALCON 24X10X15</t>
  </si>
  <si>
    <t>ELECTRODOS 3/32 10LBS  (VARILLAS PARA SOLDADURA-HERRERIA)</t>
  </si>
  <si>
    <t xml:space="preserve">LENTES DE REALIDAD VIRTUAL </t>
  </si>
  <si>
    <t>DONACIONES</t>
  </si>
  <si>
    <t xml:space="preserve">CODOS DE 1X90 PVC </t>
  </si>
  <si>
    <t>BRIGHTSTAR, SRL (CLARO DOM)</t>
  </si>
  <si>
    <t>LAPTOP HUAWEI MATEBOOK D 15 R5</t>
  </si>
  <si>
    <t>PERFORADORA PARA TERJETAS PVC (CARNETS)</t>
  </si>
  <si>
    <t xml:space="preserve">MOCHILAS PARA LAPTOP (COLOR GRIS)
</t>
  </si>
  <si>
    <t>MOUSE INALAMBRICOS</t>
  </si>
  <si>
    <t>CAJITA TOMACORRIENTE 2X4 PLASTICA (BREAKER DE 1 ESPACIO)</t>
  </si>
  <si>
    <t>ALCOHOL AL 70% POR ONZAS</t>
  </si>
  <si>
    <t>CAJA PLASTICAS PARA TOMA CORRIENTE  2X4</t>
  </si>
  <si>
    <t>JUEGOS 2/1</t>
  </si>
  <si>
    <t>REQUISICIONES JUNIO 2021</t>
  </si>
  <si>
    <t>ENTRADAS JUNIO 2021</t>
  </si>
  <si>
    <t>ONZAS</t>
  </si>
  <si>
    <t>CALCULADORA SUMADORA SHARP EL-1750V (PEQUEÑA)</t>
  </si>
  <si>
    <t>GRUPO MACCABI</t>
  </si>
  <si>
    <t>ESFIGMOMANOMETRO JERSYMED CON BULTO</t>
  </si>
  <si>
    <t>ESTESTOCOPIO PARA ADULTO DOBLE CAMAPANA GREENLAB</t>
  </si>
  <si>
    <t>MEDIDOR DE GLUCOSA</t>
  </si>
  <si>
    <t>SET DE CIRUGIA MENOR 13 PIEZAS</t>
  </si>
  <si>
    <t>PAPEL CAMILLA CREPE 21 PULGADAS PREMIUN</t>
  </si>
  <si>
    <t>MASCARILLAS DESEHABLES 3 PLIEGOS 50/1</t>
  </si>
  <si>
    <t>MICROPORE CD 2X10 YARDAS</t>
  </si>
  <si>
    <t>JERINGUILLA 3CC 21X1 GREENLAB</t>
  </si>
  <si>
    <t>TIRILLA PARA MEDIR GLUCOZA</t>
  </si>
  <si>
    <t>EQUIPO DE OSTOSCOPIO</t>
  </si>
  <si>
    <t>CALCOMANIAS</t>
  </si>
  <si>
    <t>CELESTE MOBILITY GROUP</t>
  </si>
  <si>
    <t>PATINETA CELESTE S10 1000W</t>
  </si>
  <si>
    <t>PERSPECTIVA GRUPO CREATIVO</t>
  </si>
  <si>
    <t>MEDALLA REDONDAS METAL FUNDIDO</t>
  </si>
  <si>
    <t>BRAZALETE DE PAPEL REFLECTIVO IMPRESO</t>
  </si>
  <si>
    <t>TAG FRONTAL PARA BICICLETA DE 8X6 PULGADAS</t>
  </si>
  <si>
    <t>GTG INDUSTRIAL, S.R.L</t>
  </si>
  <si>
    <t xml:space="preserve">VASOS DESECHABLE DE CAFÉ MOLDY Nc. 2  24/1 </t>
  </si>
  <si>
    <t>CREMORA COFFEE MATE 23 ONZ.</t>
  </si>
  <si>
    <t>SERVILLETAS HOGAR  PAQ. 500/2</t>
  </si>
  <si>
    <t>1</t>
  </si>
  <si>
    <t>DIST.  IMBERT CASTELLANO</t>
  </si>
  <si>
    <t>SERVILLETAS BLANCAS CUADRADAS KLEENEX 100/1</t>
  </si>
  <si>
    <t>VASOS DESECHABLE DE CAFE Nc. 4 BIODEGRADABLE  (CARTON) 50/0</t>
  </si>
  <si>
    <t>TE FRIO EN POLVO 4C LATAS 80 ONZAS</t>
  </si>
  <si>
    <t>PAPEL TOALLA BOUNTY  (ABSORBENTE PARA COCINA)</t>
  </si>
  <si>
    <t>JMP SERVICIOS MULTIPLES,EIRL</t>
  </si>
  <si>
    <t>ATOMIZADORES 8 ONZA (ENVACES VACIOS)</t>
  </si>
  <si>
    <t xml:space="preserve">TORNILLOS 3/8X2 </t>
  </si>
  <si>
    <t xml:space="preserve">STOCK JUNIO </t>
  </si>
  <si>
    <t>INVENTARIO TRIMESTRAL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</si>
</sst>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dd\-mm\-yy;@"/>
    <numFmt numFmtId="165" formatCode="_-[$RD$-1C0A]* #,##0.00_-;\-[$RD$-1C0A]* #,##0.00_-;_-[$RD$-1C0A]* &quot;-&quot;??_-;_-@_-"/>
    <numFmt numFmtId="166" formatCode="_(&quot;RD$&quot;* #,##0.00_);_(&quot;RD$&quot;* \(#,##0.00\);_(&quot;RD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</font>
    <font>
      <sz val="9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theme="5" tint="0.3999755851924192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328">
    <xf numFmtId="0" fontId="0" fillId="0" borderId="0" xfId="0"/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/>
    <xf numFmtId="0" fontId="9" fillId="2" borderId="0" xfId="0" applyFont="1" applyFill="1"/>
    <xf numFmtId="0" fontId="0" fillId="2" borderId="0" xfId="0" applyFill="1" applyAlignment="1"/>
    <xf numFmtId="0" fontId="11" fillId="2" borderId="4" xfId="0" applyFont="1" applyFill="1" applyBorder="1" applyAlignment="1">
      <alignment horizontal="center"/>
    </xf>
    <xf numFmtId="0" fontId="0" fillId="2" borderId="0" xfId="0" applyFill="1" applyBorder="1"/>
    <xf numFmtId="0" fontId="1" fillId="0" borderId="0" xfId="0" applyFont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0" fillId="2" borderId="0" xfId="0" applyFont="1" applyFill="1"/>
    <xf numFmtId="165" fontId="6" fillId="2" borderId="0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2" borderId="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14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/>
    <xf numFmtId="166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166" fontId="8" fillId="2" borderId="4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/>
    <xf numFmtId="0" fontId="8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vertical="top"/>
    </xf>
    <xf numFmtId="3" fontId="8" fillId="2" borderId="4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vertical="center"/>
    </xf>
    <xf numFmtId="164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/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/>
    <xf numFmtId="0" fontId="14" fillId="2" borderId="4" xfId="0" applyFont="1" applyFill="1" applyBorder="1" applyAlignment="1">
      <alignment horizontal="center"/>
    </xf>
    <xf numFmtId="14" fontId="0" fillId="2" borderId="4" xfId="0" applyNumberFormat="1" applyFont="1" applyFill="1" applyBorder="1"/>
    <xf numFmtId="164" fontId="8" fillId="2" borderId="6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vertical="top" wrapText="1"/>
    </xf>
    <xf numFmtId="166" fontId="13" fillId="5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3" fillId="6" borderId="10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/>
    <xf numFmtId="164" fontId="7" fillId="4" borderId="6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 wrapText="1"/>
    </xf>
    <xf numFmtId="164" fontId="7" fillId="4" borderId="5" xfId="0" applyNumberFormat="1" applyFont="1" applyFill="1" applyBorder="1" applyAlignment="1">
      <alignment horizontal="left" vertical="center"/>
    </xf>
    <xf numFmtId="164" fontId="6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0" fillId="2" borderId="11" xfId="0" applyFont="1" applyFill="1" applyBorder="1"/>
    <xf numFmtId="165" fontId="0" fillId="2" borderId="13" xfId="0" applyNumberFormat="1" applyFont="1" applyFill="1" applyBorder="1" applyAlignment="1">
      <alignment horizontal="left"/>
    </xf>
    <xf numFmtId="3" fontId="8" fillId="2" borderId="4" xfId="0" applyNumberFormat="1" applyFont="1" applyFill="1" applyBorder="1" applyAlignment="1">
      <alignment wrapText="1"/>
    </xf>
    <xf numFmtId="0" fontId="6" fillId="7" borderId="11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1" fillId="2" borderId="0" xfId="0" applyFont="1" applyFill="1" applyBorder="1" applyAlignment="1"/>
    <xf numFmtId="14" fontId="15" fillId="2" borderId="4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right"/>
    </xf>
    <xf numFmtId="0" fontId="15" fillId="2" borderId="4" xfId="0" applyNumberFormat="1" applyFont="1" applyFill="1" applyBorder="1" applyAlignment="1">
      <alignment horizontal="right"/>
    </xf>
    <xf numFmtId="165" fontId="15" fillId="2" borderId="4" xfId="0" applyNumberFormat="1" applyFont="1" applyFill="1" applyBorder="1" applyAlignment="1">
      <alignment horizontal="center" vertical="center" wrapText="1"/>
    </xf>
    <xf numFmtId="166" fontId="15" fillId="2" borderId="4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right"/>
    </xf>
    <xf numFmtId="0" fontId="18" fillId="2" borderId="4" xfId="0" applyNumberFormat="1" applyFont="1" applyFill="1" applyBorder="1" applyAlignment="1">
      <alignment horizontal="right"/>
    </xf>
    <xf numFmtId="166" fontId="18" fillId="2" borderId="4" xfId="0" applyNumberFormat="1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0" fontId="11" fillId="2" borderId="14" xfId="0" applyFont="1" applyFill="1" applyBorder="1"/>
    <xf numFmtId="14" fontId="19" fillId="2" borderId="15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4" fontId="19" fillId="2" borderId="14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8" fillId="2" borderId="4" xfId="0" applyNumberFormat="1" applyFont="1" applyFill="1" applyBorder="1" applyAlignment="1">
      <alignment horizontal="left"/>
    </xf>
    <xf numFmtId="14" fontId="18" fillId="2" borderId="4" xfId="0" applyNumberFormat="1" applyFont="1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left"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4" fontId="15" fillId="2" borderId="4" xfId="0" applyNumberFormat="1" applyFont="1" applyFill="1" applyBorder="1" applyAlignment="1">
      <alignment horizontal="left"/>
    </xf>
    <xf numFmtId="14" fontId="8" fillId="2" borderId="6" xfId="0" applyNumberFormat="1" applyFont="1" applyFill="1" applyBorder="1" applyAlignment="1">
      <alignment horizontal="left"/>
    </xf>
    <xf numFmtId="14" fontId="8" fillId="2" borderId="4" xfId="0" applyNumberFormat="1" applyFont="1" applyFill="1" applyBorder="1" applyAlignment="1">
      <alignment horizontal="left" wrapText="1"/>
    </xf>
    <xf numFmtId="14" fontId="11" fillId="2" borderId="4" xfId="0" applyNumberFormat="1" applyFont="1" applyFill="1" applyBorder="1" applyAlignment="1">
      <alignment horizontal="left"/>
    </xf>
    <xf numFmtId="14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64" fontId="3" fillId="6" borderId="9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5" fontId="0" fillId="2" borderId="0" xfId="0" applyNumberForma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right"/>
    </xf>
    <xf numFmtId="0" fontId="8" fillId="2" borderId="14" xfId="0" applyFont="1" applyFill="1" applyBorder="1"/>
    <xf numFmtId="166" fontId="8" fillId="2" borderId="14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3" fontId="20" fillId="2" borderId="4" xfId="0" applyNumberFormat="1" applyFont="1" applyFill="1" applyBorder="1" applyAlignment="1"/>
    <xf numFmtId="0" fontId="20" fillId="2" borderId="4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center"/>
    </xf>
    <xf numFmtId="0" fontId="8" fillId="2" borderId="4" xfId="0" applyNumberFormat="1" applyFont="1" applyFill="1" applyBorder="1" applyAlignment="1"/>
    <xf numFmtId="0" fontId="8" fillId="2" borderId="4" xfId="0" applyNumberFormat="1" applyFont="1" applyFill="1" applyBorder="1" applyAlignment="1">
      <alignment vertical="top" wrapText="1"/>
    </xf>
    <xf numFmtId="49" fontId="8" fillId="2" borderId="14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164" fontId="18" fillId="2" borderId="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/>
    <xf numFmtId="164" fontId="8" fillId="2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right"/>
    </xf>
    <xf numFmtId="0" fontId="0" fillId="0" borderId="0" xfId="0" applyFill="1" applyBorder="1" applyAlignment="1"/>
    <xf numFmtId="164" fontId="8" fillId="2" borderId="4" xfId="0" applyNumberFormat="1" applyFont="1" applyFill="1" applyBorder="1" applyAlignment="1">
      <alignment horizontal="right" wrapText="1"/>
    </xf>
    <xf numFmtId="0" fontId="8" fillId="2" borderId="4" xfId="0" applyNumberFormat="1" applyFont="1" applyFill="1" applyBorder="1" applyAlignment="1">
      <alignment horizontal="right" wrapText="1"/>
    </xf>
    <xf numFmtId="164" fontId="18" fillId="2" borderId="14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 wrapText="1"/>
    </xf>
    <xf numFmtId="164" fontId="8" fillId="2" borderId="14" xfId="0" applyNumberFormat="1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44" fontId="0" fillId="2" borderId="0" xfId="1" applyFont="1" applyFill="1"/>
    <xf numFmtId="0" fontId="8" fillId="2" borderId="4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2" borderId="0" xfId="0" applyFont="1" applyFill="1" applyAlignment="1"/>
    <xf numFmtId="0" fontId="9" fillId="0" borderId="0" xfId="0" applyFont="1" applyAlignment="1"/>
    <xf numFmtId="164" fontId="18" fillId="2" borderId="4" xfId="0" applyNumberFormat="1" applyFont="1" applyFill="1" applyBorder="1" applyAlignment="1">
      <alignment horizontal="center"/>
    </xf>
    <xf numFmtId="44" fontId="0" fillId="2" borderId="0" xfId="1" applyFont="1" applyFill="1" applyAlignment="1">
      <alignment wrapText="1"/>
    </xf>
    <xf numFmtId="14" fontId="8" fillId="2" borderId="16" xfId="0" applyNumberFormat="1" applyFont="1" applyFill="1" applyBorder="1" applyAlignment="1">
      <alignment horizontal="left" wrapText="1"/>
    </xf>
    <xf numFmtId="0" fontId="8" fillId="2" borderId="14" xfId="0" applyFont="1" applyFill="1" applyBorder="1" applyAlignment="1">
      <alignment wrapText="1"/>
    </xf>
    <xf numFmtId="14" fontId="8" fillId="2" borderId="1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right"/>
    </xf>
    <xf numFmtId="0" fontId="8" fillId="2" borderId="14" xfId="0" applyNumberFormat="1" applyFont="1" applyFill="1" applyBorder="1" applyAlignment="1">
      <alignment horizontal="right"/>
    </xf>
    <xf numFmtId="0" fontId="18" fillId="2" borderId="6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/>
    </xf>
    <xf numFmtId="0" fontId="18" fillId="2" borderId="4" xfId="1" applyNumberFormat="1" applyFont="1" applyFill="1" applyBorder="1" applyAlignment="1">
      <alignment horizontal="right"/>
    </xf>
    <xf numFmtId="0" fontId="8" fillId="2" borderId="4" xfId="1" applyNumberFormat="1" applyFont="1" applyFill="1" applyBorder="1" applyAlignment="1">
      <alignment horizontal="right" wrapText="1"/>
    </xf>
    <xf numFmtId="0" fontId="8" fillId="2" borderId="4" xfId="1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/>
    <xf numFmtId="0" fontId="8" fillId="2" borderId="14" xfId="0" applyNumberFormat="1" applyFont="1" applyFill="1" applyBorder="1" applyAlignment="1">
      <alignment horizontal="right" wrapText="1"/>
    </xf>
    <xf numFmtId="0" fontId="18" fillId="2" borderId="14" xfId="0" applyNumberFormat="1" applyFont="1" applyFill="1" applyBorder="1" applyAlignment="1">
      <alignment horizontal="right"/>
    </xf>
    <xf numFmtId="0" fontId="8" fillId="2" borderId="4" xfId="0" applyNumberFormat="1" applyFont="1" applyFill="1" applyBorder="1" applyAlignment="1">
      <alignment horizontal="right" vertical="top" wrapText="1"/>
    </xf>
    <xf numFmtId="0" fontId="18" fillId="2" borderId="6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horizontal="right" vertical="top"/>
    </xf>
    <xf numFmtId="2" fontId="18" fillId="2" borderId="4" xfId="0" applyNumberFormat="1" applyFont="1" applyFill="1" applyBorder="1" applyAlignment="1">
      <alignment horizontal="right"/>
    </xf>
    <xf numFmtId="14" fontId="18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top" wrapText="1"/>
    </xf>
    <xf numFmtId="0" fontId="8" fillId="2" borderId="6" xfId="0" applyNumberFormat="1" applyFont="1" applyFill="1" applyBorder="1" applyAlignment="1"/>
    <xf numFmtId="14" fontId="23" fillId="2" borderId="4" xfId="0" applyNumberFormat="1" applyFont="1" applyFill="1" applyBorder="1" applyAlignment="1">
      <alignment horizontal="center"/>
    </xf>
    <xf numFmtId="14" fontId="23" fillId="2" borderId="4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wrapText="1"/>
    </xf>
    <xf numFmtId="164" fontId="23" fillId="2" borderId="4" xfId="0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right"/>
    </xf>
    <xf numFmtId="0" fontId="23" fillId="2" borderId="4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166" fontId="23" fillId="2" borderId="4" xfId="0" applyNumberFormat="1" applyFont="1" applyFill="1" applyBorder="1" applyAlignment="1">
      <alignment horizontal="center" vertical="center"/>
    </xf>
    <xf numFmtId="165" fontId="23" fillId="2" borderId="4" xfId="0" applyNumberFormat="1" applyFont="1" applyFill="1" applyBorder="1" applyAlignment="1">
      <alignment horizontal="center" vertical="center" wrapText="1"/>
    </xf>
    <xf numFmtId="164" fontId="23" fillId="2" borderId="14" xfId="0" applyNumberFormat="1" applyFont="1" applyFill="1" applyBorder="1" applyAlignment="1">
      <alignment horizontal="center"/>
    </xf>
    <xf numFmtId="166" fontId="23" fillId="2" borderId="4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64" fontId="23" fillId="2" borderId="6" xfId="0" applyNumberFormat="1" applyFont="1" applyFill="1" applyBorder="1" applyAlignment="1">
      <alignment horizontal="center"/>
    </xf>
    <xf numFmtId="0" fontId="23" fillId="2" borderId="4" xfId="0" applyFont="1" applyFill="1" applyBorder="1" applyAlignment="1">
      <alignment horizontal="left"/>
    </xf>
    <xf numFmtId="165" fontId="23" fillId="2" borderId="4" xfId="0" applyNumberFormat="1" applyFont="1" applyFill="1" applyBorder="1" applyAlignment="1">
      <alignment horizontal="center" vertical="center"/>
    </xf>
    <xf numFmtId="44" fontId="0" fillId="2" borderId="0" xfId="1" applyFont="1" applyFill="1" applyAlignment="1"/>
    <xf numFmtId="0" fontId="8" fillId="2" borderId="6" xfId="0" applyNumberFormat="1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>
      <alignment horizontal="right" vertical="top" wrapText="1"/>
    </xf>
    <xf numFmtId="0" fontId="8" fillId="2" borderId="6" xfId="0" applyNumberFormat="1" applyFont="1" applyFill="1" applyBorder="1" applyAlignment="1">
      <alignment horizontal="right"/>
    </xf>
    <xf numFmtId="0" fontId="15" fillId="2" borderId="14" xfId="0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left" vertical="center"/>
    </xf>
    <xf numFmtId="14" fontId="25" fillId="2" borderId="4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166" fontId="25" fillId="2" borderId="4" xfId="0" applyNumberFormat="1" applyFont="1" applyFill="1" applyBorder="1" applyAlignment="1">
      <alignment horizontal="center" vertical="center"/>
    </xf>
    <xf numFmtId="14" fontId="25" fillId="2" borderId="4" xfId="0" applyNumberFormat="1" applyFont="1" applyFill="1" applyBorder="1" applyAlignment="1">
      <alignment horizontal="left"/>
    </xf>
    <xf numFmtId="164" fontId="25" fillId="2" borderId="6" xfId="0" applyNumberFormat="1" applyFont="1" applyFill="1" applyBorder="1" applyAlignment="1">
      <alignment horizontal="center"/>
    </xf>
    <xf numFmtId="164" fontId="25" fillId="2" borderId="4" xfId="0" applyNumberFormat="1" applyFont="1" applyFill="1" applyBorder="1" applyAlignment="1">
      <alignment horizontal="left" wrapText="1"/>
    </xf>
    <xf numFmtId="165" fontId="25" fillId="2" borderId="4" xfId="0" applyNumberFormat="1" applyFont="1" applyFill="1" applyBorder="1" applyAlignment="1">
      <alignment horizontal="center" vertical="center" wrapText="1"/>
    </xf>
    <xf numFmtId="165" fontId="25" fillId="2" borderId="4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/>
    <xf numFmtId="164" fontId="25" fillId="2" borderId="4" xfId="0" applyNumberFormat="1" applyFont="1" applyFill="1" applyBorder="1" applyAlignment="1">
      <alignment horizontal="right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3" fillId="0" borderId="0" xfId="0" applyNumberFormat="1" applyFont="1" applyFill="1" applyAlignment="1">
      <alignment vertical="center"/>
    </xf>
    <xf numFmtId="0" fontId="6" fillId="3" borderId="0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21" fillId="2" borderId="6" xfId="0" applyNumberFormat="1" applyFont="1" applyFill="1" applyBorder="1" applyAlignment="1"/>
    <xf numFmtId="0" fontId="21" fillId="2" borderId="6" xfId="0" applyNumberFormat="1" applyFont="1" applyFill="1" applyBorder="1"/>
    <xf numFmtId="0" fontId="11" fillId="2" borderId="6" xfId="0" applyNumberFormat="1" applyFont="1" applyFill="1" applyBorder="1"/>
    <xf numFmtId="0" fontId="11" fillId="2" borderId="6" xfId="0" applyNumberFormat="1" applyFont="1" applyFill="1" applyBorder="1" applyAlignment="1"/>
    <xf numFmtId="0" fontId="0" fillId="2" borderId="12" xfId="0" applyNumberFormat="1" applyFont="1" applyFill="1" applyBorder="1"/>
    <xf numFmtId="0" fontId="10" fillId="2" borderId="4" xfId="0" applyNumberFormat="1" applyFont="1" applyFill="1" applyBorder="1" applyAlignment="1">
      <alignment vertical="center"/>
    </xf>
    <xf numFmtId="0" fontId="3" fillId="6" borderId="8" xfId="0" applyNumberFormat="1" applyFont="1" applyFill="1" applyBorder="1" applyAlignment="1">
      <alignment vertical="center"/>
    </xf>
    <xf numFmtId="0" fontId="0" fillId="0" borderId="0" xfId="0" applyNumberFormat="1" applyBorder="1" applyAlignment="1"/>
    <xf numFmtId="0" fontId="1" fillId="0" borderId="0" xfId="0" applyNumberFormat="1" applyFont="1" applyBorder="1" applyAlignment="1"/>
    <xf numFmtId="0" fontId="0" fillId="0" borderId="0" xfId="0" applyNumberFormat="1" applyBorder="1"/>
    <xf numFmtId="0" fontId="0" fillId="0" borderId="0" xfId="0" applyNumberFormat="1"/>
    <xf numFmtId="14" fontId="8" fillId="2" borderId="11" xfId="0" applyNumberFormat="1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left"/>
    </xf>
    <xf numFmtId="166" fontId="8" fillId="2" borderId="11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left" vertical="center" wrapText="1"/>
    </xf>
    <xf numFmtId="14" fontId="25" fillId="2" borderId="14" xfId="0" applyNumberFormat="1" applyFont="1" applyFill="1" applyBorder="1" applyAlignment="1">
      <alignment horizontal="center"/>
    </xf>
    <xf numFmtId="164" fontId="25" fillId="2" borderId="14" xfId="0" applyNumberFormat="1" applyFont="1" applyFill="1" applyBorder="1" applyAlignment="1">
      <alignment horizontal="center"/>
    </xf>
    <xf numFmtId="14" fontId="25" fillId="2" borderId="14" xfId="0" applyNumberFormat="1" applyFont="1" applyFill="1" applyBorder="1" applyAlignment="1">
      <alignment horizontal="left"/>
    </xf>
    <xf numFmtId="164" fontId="25" fillId="2" borderId="14" xfId="0" applyNumberFormat="1" applyFont="1" applyFill="1" applyBorder="1" applyAlignment="1">
      <alignment horizontal="left" wrapText="1"/>
    </xf>
    <xf numFmtId="164" fontId="25" fillId="2" borderId="14" xfId="0" applyNumberFormat="1" applyFont="1" applyFill="1" applyBorder="1" applyAlignment="1">
      <alignment horizontal="right"/>
    </xf>
    <xf numFmtId="0" fontId="25" fillId="2" borderId="14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166" fontId="25" fillId="2" borderId="1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7" borderId="11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top"/>
    </xf>
    <xf numFmtId="0" fontId="8" fillId="2" borderId="4" xfId="0" applyNumberFormat="1" applyFont="1" applyFill="1" applyBorder="1" applyAlignment="1">
      <alignment vertical="center"/>
    </xf>
    <xf numFmtId="0" fontId="20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>
      <alignment horizontal="right"/>
    </xf>
    <xf numFmtId="0" fontId="0" fillId="2" borderId="4" xfId="0" applyNumberFormat="1" applyFont="1" applyFill="1" applyBorder="1"/>
    <xf numFmtId="0" fontId="12" fillId="2" borderId="4" xfId="0" applyNumberFormat="1" applyFont="1" applyFill="1" applyBorder="1" applyAlignment="1">
      <alignment horizontal="right" vertical="top" wrapText="1"/>
    </xf>
    <xf numFmtId="0" fontId="0" fillId="2" borderId="0" xfId="0" applyNumberFormat="1" applyFont="1" applyFill="1" applyBorder="1"/>
    <xf numFmtId="0" fontId="3" fillId="6" borderId="9" xfId="0" applyNumberFormat="1" applyFont="1" applyFill="1" applyBorder="1" applyAlignment="1">
      <alignment vertical="center"/>
    </xf>
    <xf numFmtId="164" fontId="25" fillId="2" borderId="16" xfId="0" applyNumberFormat="1" applyFont="1" applyFill="1" applyBorder="1" applyAlignment="1">
      <alignment horizontal="right"/>
    </xf>
    <xf numFmtId="3" fontId="25" fillId="2" borderId="16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right" vertical="top" wrapText="1"/>
    </xf>
    <xf numFmtId="0" fontId="12" fillId="2" borderId="11" xfId="0" applyNumberFormat="1" applyFont="1" applyFill="1" applyBorder="1" applyAlignment="1">
      <alignment horizontal="right" vertical="top" wrapText="1"/>
    </xf>
    <xf numFmtId="164" fontId="8" fillId="2" borderId="14" xfId="0" applyNumberFormat="1" applyFont="1" applyFill="1" applyBorder="1" applyAlignment="1">
      <alignment horizontal="left" wrapText="1"/>
    </xf>
    <xf numFmtId="164" fontId="8" fillId="2" borderId="14" xfId="0" applyNumberFormat="1" applyFont="1" applyFill="1" applyBorder="1" applyAlignment="1">
      <alignment horizontal="right"/>
    </xf>
    <xf numFmtId="14" fontId="25" fillId="2" borderId="6" xfId="0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15" fillId="2" borderId="14" xfId="0" applyNumberFormat="1" applyFont="1" applyFill="1" applyBorder="1" applyAlignment="1">
      <alignment horizontal="right"/>
    </xf>
    <xf numFmtId="0" fontId="18" fillId="2" borderId="14" xfId="0" applyFont="1" applyFill="1" applyBorder="1"/>
    <xf numFmtId="166" fontId="18" fillId="2" borderId="14" xfId="0" applyNumberFormat="1" applyFont="1" applyFill="1" applyBorder="1" applyAlignment="1">
      <alignment horizontal="center" vertical="center"/>
    </xf>
    <xf numFmtId="0" fontId="23" fillId="2" borderId="14" xfId="0" applyNumberFormat="1" applyFont="1" applyFill="1" applyBorder="1" applyAlignment="1">
      <alignment horizontal="right"/>
    </xf>
    <xf numFmtId="14" fontId="25" fillId="2" borderId="16" xfId="0" applyNumberFormat="1" applyFont="1" applyFill="1" applyBorder="1" applyAlignment="1">
      <alignment horizontal="center"/>
    </xf>
    <xf numFmtId="164" fontId="25" fillId="2" borderId="16" xfId="0" applyNumberFormat="1" applyFont="1" applyFill="1" applyBorder="1" applyAlignment="1">
      <alignment horizontal="left" wrapText="1"/>
    </xf>
    <xf numFmtId="0" fontId="25" fillId="2" borderId="16" xfId="0" applyNumberFormat="1" applyFont="1" applyFill="1" applyBorder="1" applyAlignment="1">
      <alignment horizontal="right"/>
    </xf>
    <xf numFmtId="166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/>
    </xf>
    <xf numFmtId="0" fontId="24" fillId="2" borderId="14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[$RD$-1C0A]* #,##0.00_-;\-[$RD$-1C0A]* #,##0.00_-;_-[$RD$-1C0A]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[$RD$-1C0A]* #,##0.00_-;\-[$RD$-1C0A]* #,##0.00_-;_-[$RD$-1C0A]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(&quot;RD$&quot;* #,##0.00_);_(&quot;RD$&quot;* \(#,##0.00\);_(&quot;RD$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3</xdr:col>
      <xdr:colOff>647700</xdr:colOff>
      <xdr:row>4</xdr:row>
      <xdr:rowOff>200026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100"/>
          <a:ext cx="3257550" cy="9239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AC878" totalsRowShown="0" tableBorderDxfId="29">
  <autoFilter ref="A8:AC878"/>
  <tableColumns count="29">
    <tableColumn id="1" name="No. Orden" dataDxfId="28"/>
    <tableColumn id="2" name="FECHA ULTIMA ENTRADA" dataDxfId="27"/>
    <tableColumn id="3" name="CODIGO DE BIENES NACIONALES ( si aplica)" dataDxfId="26"/>
    <tableColumn id="4" name="PERIODO DE ADQUISICION" dataDxfId="25"/>
    <tableColumn id="20" name="SUPLIDOR" dataDxfId="24"/>
    <tableColumn id="5" name="CODIGO INSTITUCIONAL" dataDxfId="23"/>
    <tableColumn id="6" name="DESCRIPCION DEL ACTIVO O BIEN" dataDxfId="22"/>
    <tableColumn id="7" name="STOCK    FISICO ENERO 2021 " dataDxfId="21"/>
    <tableColumn id="8" name="MOVIMIENTOS POST-TOMA DE MUESTRA" dataDxfId="20"/>
    <tableColumn id="9" name="STOCK    FISICO ENERO 2021" dataDxfId="19">
      <calculatedColumnFormula>+'INVENTARIO ABRIL-JUNIO 2021'!$H9-'INVENTARIO ABRIL-JUNIO 2021'!$I9</calculatedColumnFormula>
    </tableColumn>
    <tableColumn id="10" name="ENTRADAS FEBRERO 2021" dataDxfId="18"/>
    <tableColumn id="17" name="ENTRADAS MARZO 2021" dataDxfId="17"/>
    <tableColumn id="21" name="ENTRADAS ABRIL 2021" dataDxfId="16"/>
    <tableColumn id="24" name="ENTRADAS MAYO 2021" dataDxfId="15"/>
    <tableColumn id="31" name="ENTRADAS JUNIO 2021" dataDxfId="14"/>
    <tableColumn id="11" name="REQUISICIONES FEBRERO 2021" dataDxfId="13"/>
    <tableColumn id="18" name="REQUISICIONES MARZO 2021" dataDxfId="12"/>
    <tableColumn id="22" name="REQUISICIONES ABRIL 2021" dataDxfId="11"/>
    <tableColumn id="25" name="REQUISICIONES MAYO 2021" dataDxfId="10"/>
    <tableColumn id="28" name="REQUISICIONES JUNIO 2021" dataDxfId="9"/>
    <tableColumn id="16" name="STOCK  FEBRERO 2021" dataDxfId="8">
      <calculatedColumnFormula>+Tabla1[[#This Row],[STOCK    FISICO ENERO 2021]]-Tabla1[[#This Row],[REQUISICIONES FEBRERO 2021]]</calculatedColumnFormula>
    </tableColumn>
    <tableColumn id="19" name="STOCK MARZO 2021" dataDxfId="7">
      <calculatedColumnFormula>+Tabla1[[#This Row],[STOCK  FEBRERO 2021]]-Tabla1[[#This Row],[REQUISICIONES MARZO 2021]]+Tabla1[[#This Row],[ENTRADAS MARZO 2021]]</calculatedColumnFormula>
    </tableColumn>
    <tableColumn id="23" name="STOCK ABRIL 2021" dataDxfId="6">
      <calculatedColumnFormula>+Tabla1[[#This Row],[STOCK MARZO 2021]]-Tabla1[[#This Row],[REQUISICIONES ABRIL 2021]]+Tabla1[[#This Row],[ENTRADAS ABRIL 2021]]</calculatedColumnFormula>
    </tableColumn>
    <tableColumn id="26" name="STOCK MAYO 2021" dataDxfId="5">
      <calculatedColumnFormula>+Tabla1[[#This Row],[STOCK ABRIL 2021]]-Tabla1[[#This Row],[REQUISICIONES MAYO 2021]]+Tabla1[[#This Row],[ENTRADAS MAYO 2021]]</calculatedColumnFormula>
    </tableColumn>
    <tableColumn id="30" name="STOCK JUNIO " dataDxfId="4">
      <calculatedColumnFormula>+Tabla1[[#This Row],[STOCK MAYO 2021]]-Tabla1[[#This Row],[REQUISICIONES JUNIO 2021]]+Tabla1[[#This Row],[ENTRADAS JUNIO 2021]]</calculatedColumnFormula>
    </tableColumn>
    <tableColumn id="12" name="UNIDAD DE MEDIDA" dataDxfId="3"/>
    <tableColumn id="13" name="COSTO UNITARIO SIN ITBIS" dataDxfId="2"/>
    <tableColumn id="14" name="COSTO UNITARIO  ITBIS INCLUIDO" dataDxfId="1"/>
    <tableColumn id="15" name="TOTAL GENERAL EN RD$" dataDxfId="0">
      <calculatedColumnFormula>J9*AA9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88"/>
  <sheetViews>
    <sheetView showGridLines="0" tabSelected="1" zoomScaleNormal="100" workbookViewId="0">
      <pane ySplit="8" topLeftCell="A794" activePane="bottomLeft" state="frozen"/>
      <selection pane="bottomLeft" activeCell="G781" sqref="G781"/>
    </sheetView>
  </sheetViews>
  <sheetFormatPr baseColWidth="10" defaultRowHeight="15" x14ac:dyDescent="0.25"/>
  <cols>
    <col min="1" max="1" width="10.85546875" style="273" customWidth="1"/>
    <col min="2" max="2" width="17.42578125" customWidth="1"/>
    <col min="3" max="3" width="14.140625" customWidth="1"/>
    <col min="4" max="4" width="16.42578125" customWidth="1"/>
    <col min="5" max="5" width="28.85546875" style="27" hidden="1" customWidth="1"/>
    <col min="6" max="6" width="14" customWidth="1"/>
    <col min="7" max="7" width="82.140625" customWidth="1"/>
    <col min="8" max="8" width="15" hidden="1" customWidth="1"/>
    <col min="9" max="9" width="14.140625" hidden="1" customWidth="1"/>
    <col min="10" max="10" width="11.85546875" hidden="1" customWidth="1"/>
    <col min="11" max="14" width="13" hidden="1" customWidth="1"/>
    <col min="15" max="15" width="13" style="273" hidden="1" customWidth="1"/>
    <col min="16" max="20" width="14.28515625" hidden="1" customWidth="1"/>
    <col min="21" max="24" width="14.28515625" style="8" hidden="1" customWidth="1"/>
    <col min="25" max="25" width="14.28515625" style="8" customWidth="1"/>
    <col min="26" max="26" width="18.85546875" bestFit="1" customWidth="1"/>
    <col min="27" max="27" width="16.42578125" customWidth="1"/>
    <col min="28" max="28" width="22.42578125" style="156" customWidth="1"/>
    <col min="29" max="29" width="22.28515625" style="27" customWidth="1"/>
    <col min="30" max="31" width="14.140625" bestFit="1" customWidth="1"/>
    <col min="32" max="32" width="13" bestFit="1" customWidth="1"/>
  </cols>
  <sheetData>
    <row r="1" spans="1:31" x14ac:dyDescent="0.25">
      <c r="A1" s="256"/>
      <c r="B1" s="1"/>
      <c r="C1" s="2"/>
      <c r="D1" s="2"/>
      <c r="E1" s="135"/>
      <c r="F1" s="2"/>
      <c r="G1" s="2"/>
      <c r="H1" s="2"/>
      <c r="I1" s="2"/>
      <c r="J1" s="2"/>
      <c r="K1" s="2"/>
      <c r="L1" s="2"/>
      <c r="M1" s="2"/>
      <c r="N1" s="2"/>
      <c r="O1" s="287"/>
      <c r="P1" s="2"/>
      <c r="Q1" s="2"/>
      <c r="R1" s="2"/>
      <c r="S1" s="2"/>
      <c r="T1" s="2"/>
      <c r="U1" s="107"/>
      <c r="V1" s="107"/>
      <c r="W1" s="107"/>
      <c r="X1" s="107"/>
      <c r="Y1" s="107"/>
      <c r="Z1" s="2"/>
      <c r="AA1" s="3"/>
      <c r="AB1" s="151"/>
      <c r="AC1" s="22"/>
    </row>
    <row r="2" spans="1:31" x14ac:dyDescent="0.25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"/>
      <c r="AB2" s="151"/>
      <c r="AC2" s="22"/>
    </row>
    <row r="3" spans="1:31" x14ac:dyDescent="0.25">
      <c r="A3" s="326" t="s">
        <v>722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"/>
      <c r="AB3" s="151"/>
      <c r="AC3" s="22"/>
    </row>
    <row r="4" spans="1:31" x14ac:dyDescent="0.25">
      <c r="A4" s="257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57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3"/>
      <c r="AB4" s="151"/>
      <c r="AC4" s="22"/>
    </row>
    <row r="5" spans="1:31" ht="18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4"/>
      <c r="AB5" s="152"/>
      <c r="AC5" s="23"/>
    </row>
    <row r="6" spans="1:31" ht="15" customHeight="1" x14ac:dyDescent="0.25">
      <c r="A6" s="258"/>
      <c r="B6" s="5"/>
      <c r="C6" s="5"/>
      <c r="D6" s="5"/>
      <c r="E6" s="136"/>
      <c r="F6" s="6"/>
      <c r="G6" s="6"/>
      <c r="H6" s="6"/>
      <c r="I6" s="6"/>
      <c r="J6" s="6"/>
      <c r="K6" s="6"/>
      <c r="L6" s="6"/>
      <c r="M6" s="6"/>
      <c r="N6" s="6"/>
      <c r="O6" s="288"/>
      <c r="P6" s="6"/>
      <c r="Q6" s="6"/>
      <c r="R6" s="6"/>
      <c r="S6" s="6"/>
      <c r="T6" s="6"/>
      <c r="U6" s="7"/>
      <c r="V6" s="7"/>
      <c r="W6" s="7"/>
      <c r="X6" s="7"/>
      <c r="Y6" s="7"/>
      <c r="Z6" s="6"/>
      <c r="AA6" s="7"/>
      <c r="AB6" s="153"/>
      <c r="AC6" s="24"/>
    </row>
    <row r="7" spans="1:31" ht="16.5" thickBot="1" x14ac:dyDescent="0.3">
      <c r="A7" s="327" t="s">
        <v>927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</row>
    <row r="8" spans="1:31" ht="55.5" customHeight="1" x14ac:dyDescent="0.25">
      <c r="A8" s="259" t="s">
        <v>0</v>
      </c>
      <c r="B8" s="97" t="s">
        <v>1</v>
      </c>
      <c r="C8" s="98" t="s">
        <v>2</v>
      </c>
      <c r="D8" s="98" t="s">
        <v>3</v>
      </c>
      <c r="E8" s="98" t="s">
        <v>730</v>
      </c>
      <c r="F8" s="98" t="s">
        <v>4</v>
      </c>
      <c r="G8" s="98" t="s">
        <v>5</v>
      </c>
      <c r="H8" s="98" t="s">
        <v>701</v>
      </c>
      <c r="I8" s="105" t="s">
        <v>703</v>
      </c>
      <c r="J8" s="105" t="s">
        <v>704</v>
      </c>
      <c r="K8" s="105" t="s">
        <v>705</v>
      </c>
      <c r="L8" s="105" t="s">
        <v>724</v>
      </c>
      <c r="M8" s="105" t="s">
        <v>780</v>
      </c>
      <c r="N8" s="105" t="s">
        <v>837</v>
      </c>
      <c r="O8" s="289" t="s">
        <v>892</v>
      </c>
      <c r="P8" s="98" t="s">
        <v>706</v>
      </c>
      <c r="Q8" s="98" t="s">
        <v>725</v>
      </c>
      <c r="R8" s="98" t="s">
        <v>781</v>
      </c>
      <c r="S8" s="105" t="s">
        <v>838</v>
      </c>
      <c r="T8" s="105" t="s">
        <v>891</v>
      </c>
      <c r="U8" s="105" t="s">
        <v>727</v>
      </c>
      <c r="V8" s="105" t="s">
        <v>726</v>
      </c>
      <c r="W8" s="105" t="s">
        <v>782</v>
      </c>
      <c r="X8" s="105" t="s">
        <v>839</v>
      </c>
      <c r="Y8" s="105" t="s">
        <v>926</v>
      </c>
      <c r="Z8" s="98" t="s">
        <v>6</v>
      </c>
      <c r="AA8" s="99" t="s">
        <v>7</v>
      </c>
      <c r="AB8" s="99" t="s">
        <v>8</v>
      </c>
      <c r="AC8" s="100" t="s">
        <v>9</v>
      </c>
      <c r="AE8" s="21"/>
    </row>
    <row r="9" spans="1:31" ht="15" customHeight="1" x14ac:dyDescent="0.25">
      <c r="A9" s="260" t="s">
        <v>10</v>
      </c>
      <c r="B9" s="29"/>
      <c r="C9" s="29"/>
      <c r="D9" s="29"/>
      <c r="E9" s="92"/>
      <c r="F9" s="29"/>
      <c r="G9" s="29"/>
      <c r="H9" s="29"/>
      <c r="I9" s="29"/>
      <c r="J9" s="29"/>
      <c r="K9" s="29"/>
      <c r="L9" s="29"/>
      <c r="M9" s="29"/>
      <c r="N9" s="29"/>
      <c r="O9" s="290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92"/>
    </row>
    <row r="10" spans="1:31" s="8" customFormat="1" x14ac:dyDescent="0.25">
      <c r="A10" s="261">
        <v>1</v>
      </c>
      <c r="B10" s="31"/>
      <c r="C10" s="28" t="s">
        <v>11</v>
      </c>
      <c r="D10" s="31"/>
      <c r="E10" s="137"/>
      <c r="F10" s="28"/>
      <c r="G10" s="32" t="s">
        <v>13</v>
      </c>
      <c r="H10" s="33">
        <v>34</v>
      </c>
      <c r="I10" s="33"/>
      <c r="J10" s="33">
        <f>+'INVENTARIO ABRIL-JUNIO 2021'!$H10-'INVENTARIO ABRIL-JUNIO 2021'!$I10</f>
        <v>34</v>
      </c>
      <c r="K10" s="33"/>
      <c r="L10" s="33"/>
      <c r="M10" s="33"/>
      <c r="N10" s="33"/>
      <c r="O10" s="167"/>
      <c r="P10" s="33"/>
      <c r="Q10" s="33">
        <v>1</v>
      </c>
      <c r="R10" s="33"/>
      <c r="S10" s="33"/>
      <c r="T10" s="33"/>
      <c r="U10" s="33">
        <f>+Tabla1[[#This Row],[STOCK    FISICO ENERO 2021]]-Tabla1[[#This Row],[REQUISICIONES FEBRERO 2021]]</f>
        <v>34</v>
      </c>
      <c r="V10" s="33">
        <f>+Tabla1[[#This Row],[STOCK  FEBRERO 2021]]-Tabla1[[#This Row],[REQUISICIONES MARZO 2021]]+Tabla1[[#This Row],[ENTRADAS MARZO 2021]]</f>
        <v>33</v>
      </c>
      <c r="W10" s="33">
        <f>+Tabla1[[#This Row],[STOCK MARZO 2021]]-Tabla1[[#This Row],[REQUISICIONES ABRIL 2021]]+Tabla1[[#This Row],[ENTRADAS ABRIL 2021]]</f>
        <v>33</v>
      </c>
      <c r="X10" s="33">
        <f>+Tabla1[[#This Row],[STOCK ABRIL 2021]]-Tabla1[[#This Row],[REQUISICIONES MAYO 2021]]+Tabla1[[#This Row],[ENTRADAS MAYO 2021]]</f>
        <v>33</v>
      </c>
      <c r="Y10" s="33">
        <f>+Tabla1[[#This Row],[STOCK MAYO 2021]]-Tabla1[[#This Row],[REQUISICIONES JUNIO 2021]]+Tabla1[[#This Row],[ENTRADAS JUNIO 2021]]</f>
        <v>33</v>
      </c>
      <c r="Z10" s="30" t="s">
        <v>12</v>
      </c>
      <c r="AA10" s="34">
        <v>0</v>
      </c>
      <c r="AB10" s="35">
        <v>0</v>
      </c>
      <c r="AC10" s="93">
        <f>Tabla1[[#This Row],[STOCK JUNIO ]]*Tabla1[[#This Row],[COSTO UNITARIO SIN ITBIS]]</f>
        <v>0</v>
      </c>
    </row>
    <row r="11" spans="1:31" s="8" customFormat="1" x14ac:dyDescent="0.25">
      <c r="A11" s="261">
        <v>2</v>
      </c>
      <c r="B11" s="31">
        <v>43671</v>
      </c>
      <c r="C11" s="28" t="s">
        <v>11</v>
      </c>
      <c r="D11" s="31">
        <v>43671</v>
      </c>
      <c r="E11" s="137"/>
      <c r="F11" s="28">
        <v>1392</v>
      </c>
      <c r="G11" s="32" t="s">
        <v>14</v>
      </c>
      <c r="H11" s="33">
        <v>15</v>
      </c>
      <c r="I11" s="33"/>
      <c r="J11" s="33">
        <f>+'INVENTARIO ABRIL-JUNIO 2021'!$H11-'INVENTARIO ABRIL-JUNIO 2021'!$I11</f>
        <v>15</v>
      </c>
      <c r="K11" s="33"/>
      <c r="L11" s="33"/>
      <c r="M11" s="33"/>
      <c r="N11" s="33"/>
      <c r="O11" s="167"/>
      <c r="P11" s="33">
        <v>2</v>
      </c>
      <c r="Q11" s="33">
        <v>1</v>
      </c>
      <c r="R11" s="33"/>
      <c r="S11" s="33"/>
      <c r="T11" s="33">
        <f>1+2+2</f>
        <v>5</v>
      </c>
      <c r="U11" s="33">
        <f>+Tabla1[[#This Row],[STOCK    FISICO ENERO 2021]]-Tabla1[[#This Row],[REQUISICIONES FEBRERO 2021]]</f>
        <v>13</v>
      </c>
      <c r="V11" s="33">
        <f>+Tabla1[[#This Row],[STOCK  FEBRERO 2021]]-Tabla1[[#This Row],[REQUISICIONES MARZO 2021]]+Tabla1[[#This Row],[ENTRADAS MARZO 2021]]</f>
        <v>12</v>
      </c>
      <c r="W11" s="33">
        <f>+Tabla1[[#This Row],[STOCK MARZO 2021]]-Tabla1[[#This Row],[REQUISICIONES ABRIL 2021]]+Tabla1[[#This Row],[ENTRADAS ABRIL 2021]]</f>
        <v>12</v>
      </c>
      <c r="X11" s="33">
        <f>+Tabla1[[#This Row],[STOCK ABRIL 2021]]-Tabla1[[#This Row],[REQUISICIONES MAYO 2021]]+Tabla1[[#This Row],[ENTRADAS MAYO 2021]]</f>
        <v>12</v>
      </c>
      <c r="Y11" s="33">
        <f>+Tabla1[[#This Row],[STOCK MAYO 2021]]-Tabla1[[#This Row],[REQUISICIONES JUNIO 2021]]+Tabla1[[#This Row],[ENTRADAS JUNIO 2021]]</f>
        <v>7</v>
      </c>
      <c r="Z11" s="30" t="s">
        <v>12</v>
      </c>
      <c r="AA11" s="34">
        <v>183.25</v>
      </c>
      <c r="AB11" s="35">
        <f>AA11*0.18+AA11</f>
        <v>216.23500000000001</v>
      </c>
      <c r="AC11" s="93">
        <f>Tabla1[[#This Row],[STOCK JUNIO ]]*Tabla1[[#This Row],[COSTO UNITARIO SIN ITBIS]]</f>
        <v>1282.75</v>
      </c>
    </row>
    <row r="12" spans="1:31" s="8" customFormat="1" x14ac:dyDescent="0.25">
      <c r="A12" s="261">
        <v>3</v>
      </c>
      <c r="B12" s="117">
        <v>44285</v>
      </c>
      <c r="C12" s="28" t="s">
        <v>11</v>
      </c>
      <c r="D12" s="117">
        <v>44285</v>
      </c>
      <c r="E12" s="138" t="s">
        <v>739</v>
      </c>
      <c r="F12" s="118"/>
      <c r="G12" s="119" t="s">
        <v>738</v>
      </c>
      <c r="H12" s="120"/>
      <c r="I12" s="120"/>
      <c r="J12" s="120">
        <f>+'INVENTARIO ABRIL-JUNIO 2021'!$H12-'INVENTARIO ABRIL-JUNIO 2021'!$I12</f>
        <v>0</v>
      </c>
      <c r="K12" s="120"/>
      <c r="L12" s="120">
        <v>65</v>
      </c>
      <c r="M12" s="120"/>
      <c r="N12" s="120"/>
      <c r="O12" s="121"/>
      <c r="P12" s="120"/>
      <c r="Q12" s="120">
        <v>4</v>
      </c>
      <c r="R12" s="120">
        <v>1</v>
      </c>
      <c r="S12" s="120">
        <f>2+2+2</f>
        <v>6</v>
      </c>
      <c r="T12" s="120"/>
      <c r="U12" s="121">
        <f>+Tabla1[[#This Row],[STOCK    FISICO ENERO 2021]]-Tabla1[[#This Row],[REQUISICIONES FEBRERO 2021]]</f>
        <v>0</v>
      </c>
      <c r="V12" s="121">
        <f>+Tabla1[[#This Row],[STOCK  FEBRERO 2021]]-Tabla1[[#This Row],[REQUISICIONES MARZO 2021]]+Tabla1[[#This Row],[ENTRADAS MARZO 2021]]</f>
        <v>61</v>
      </c>
      <c r="W12" s="121">
        <f>+Tabla1[[#This Row],[STOCK MARZO 2021]]-Tabla1[[#This Row],[REQUISICIONES ABRIL 2021]]+Tabla1[[#This Row],[ENTRADAS ABRIL 2021]]</f>
        <v>60</v>
      </c>
      <c r="X12" s="121">
        <f>+Tabla1[[#This Row],[STOCK ABRIL 2021]]-Tabla1[[#This Row],[REQUISICIONES MAYO 2021]]+Tabla1[[#This Row],[ENTRADAS MAYO 2021]]</f>
        <v>54</v>
      </c>
      <c r="Y12" s="121">
        <f>+Tabla1[[#This Row],[STOCK MAYO 2021]]-Tabla1[[#This Row],[REQUISICIONES JUNIO 2021]]+Tabla1[[#This Row],[ENTRADAS JUNIO 2021]]</f>
        <v>54</v>
      </c>
      <c r="Z12" s="30" t="s">
        <v>12</v>
      </c>
      <c r="AA12" s="122">
        <v>282</v>
      </c>
      <c r="AB12" s="35">
        <f t="shared" ref="AB12:AB58" si="0">AA12*0.18+AA12</f>
        <v>332.76</v>
      </c>
      <c r="AC12" s="93">
        <f>Tabla1[[#This Row],[STOCK JUNIO ]]*Tabla1[[#This Row],[COSTO UNITARIO SIN ITBIS]]</f>
        <v>15228</v>
      </c>
    </row>
    <row r="13" spans="1:31" s="8" customFormat="1" x14ac:dyDescent="0.25">
      <c r="A13" s="261">
        <v>4</v>
      </c>
      <c r="B13" s="117">
        <v>44285</v>
      </c>
      <c r="C13" s="28" t="s">
        <v>11</v>
      </c>
      <c r="D13" s="117">
        <v>44285</v>
      </c>
      <c r="E13" s="138" t="s">
        <v>739</v>
      </c>
      <c r="F13" s="118"/>
      <c r="G13" s="119" t="s">
        <v>740</v>
      </c>
      <c r="H13" s="120"/>
      <c r="I13" s="120"/>
      <c r="J13" s="120">
        <f>+'INVENTARIO ABRIL-JUNIO 2021'!$H13-'INVENTARIO ABRIL-JUNIO 2021'!$I13</f>
        <v>0</v>
      </c>
      <c r="K13" s="120"/>
      <c r="L13" s="120">
        <v>40</v>
      </c>
      <c r="M13" s="120"/>
      <c r="N13" s="120"/>
      <c r="O13" s="121"/>
      <c r="P13" s="120"/>
      <c r="Q13" s="120"/>
      <c r="R13" s="120">
        <f>1+1+2+2+1</f>
        <v>7</v>
      </c>
      <c r="S13" s="120">
        <f>3+1+1</f>
        <v>5</v>
      </c>
      <c r="T13" s="120">
        <f>2+2+1</f>
        <v>5</v>
      </c>
      <c r="U13" s="121">
        <f>+Tabla1[[#This Row],[STOCK    FISICO ENERO 2021]]-Tabla1[[#This Row],[REQUISICIONES FEBRERO 2021]]</f>
        <v>0</v>
      </c>
      <c r="V13" s="121">
        <f>+Tabla1[[#This Row],[STOCK  FEBRERO 2021]]-Tabla1[[#This Row],[REQUISICIONES MARZO 2021]]+Tabla1[[#This Row],[ENTRADAS MARZO 2021]]</f>
        <v>40</v>
      </c>
      <c r="W13" s="121">
        <f>+Tabla1[[#This Row],[STOCK MARZO 2021]]-Tabla1[[#This Row],[REQUISICIONES ABRIL 2021]]+Tabla1[[#This Row],[ENTRADAS ABRIL 2021]]</f>
        <v>33</v>
      </c>
      <c r="X13" s="121">
        <f>+Tabla1[[#This Row],[STOCK ABRIL 2021]]-Tabla1[[#This Row],[REQUISICIONES MAYO 2021]]+Tabla1[[#This Row],[ENTRADAS MAYO 2021]]</f>
        <v>28</v>
      </c>
      <c r="Y13" s="121">
        <f>+Tabla1[[#This Row],[STOCK MAYO 2021]]-Tabla1[[#This Row],[REQUISICIONES JUNIO 2021]]+Tabla1[[#This Row],[ENTRADAS JUNIO 2021]]</f>
        <v>23</v>
      </c>
      <c r="Z13" s="30" t="s">
        <v>12</v>
      </c>
      <c r="AA13" s="122">
        <v>376</v>
      </c>
      <c r="AB13" s="35">
        <f t="shared" si="0"/>
        <v>443.68</v>
      </c>
      <c r="AC13" s="93">
        <f>Tabla1[[#This Row],[STOCK JUNIO ]]*Tabla1[[#This Row],[COSTO UNITARIO SIN ITBIS]]</f>
        <v>8648</v>
      </c>
    </row>
    <row r="14" spans="1:31" s="8" customFormat="1" x14ac:dyDescent="0.25">
      <c r="A14" s="261">
        <v>5</v>
      </c>
      <c r="B14" s="31">
        <v>43671</v>
      </c>
      <c r="C14" s="28" t="s">
        <v>11</v>
      </c>
      <c r="D14" s="31">
        <v>43671</v>
      </c>
      <c r="E14" s="137"/>
      <c r="F14" s="28">
        <v>1382</v>
      </c>
      <c r="G14" s="32" t="s">
        <v>16</v>
      </c>
      <c r="H14" s="33">
        <v>211</v>
      </c>
      <c r="I14" s="33">
        <v>2</v>
      </c>
      <c r="J14" s="33">
        <f>+'INVENTARIO ABRIL-JUNIO 2021'!$H14-'INVENTARIO ABRIL-JUNIO 2021'!$I14</f>
        <v>209</v>
      </c>
      <c r="K14" s="33"/>
      <c r="L14" s="33"/>
      <c r="M14" s="33"/>
      <c r="N14" s="33"/>
      <c r="O14" s="167"/>
      <c r="P14" s="33">
        <f>5+1</f>
        <v>6</v>
      </c>
      <c r="Q14" s="33">
        <f>4+3</f>
        <v>7</v>
      </c>
      <c r="R14" s="33">
        <f>15+3+2</f>
        <v>20</v>
      </c>
      <c r="S14" s="33">
        <f>10+2+1+3</f>
        <v>16</v>
      </c>
      <c r="T14" s="33">
        <v>3</v>
      </c>
      <c r="U14" s="33">
        <f>+Tabla1[[#This Row],[STOCK    FISICO ENERO 2021]]-Tabla1[[#This Row],[REQUISICIONES FEBRERO 2021]]</f>
        <v>203</v>
      </c>
      <c r="V14" s="33">
        <f>+Tabla1[[#This Row],[STOCK  FEBRERO 2021]]-Tabla1[[#This Row],[REQUISICIONES MARZO 2021]]+Tabla1[[#This Row],[ENTRADAS MARZO 2021]]</f>
        <v>196</v>
      </c>
      <c r="W14" s="33">
        <f>+Tabla1[[#This Row],[STOCK MARZO 2021]]-Tabla1[[#This Row],[REQUISICIONES ABRIL 2021]]+Tabla1[[#This Row],[ENTRADAS ABRIL 2021]]</f>
        <v>176</v>
      </c>
      <c r="X14" s="33">
        <f>+Tabla1[[#This Row],[STOCK ABRIL 2021]]-Tabla1[[#This Row],[REQUISICIONES MAYO 2021]]+Tabla1[[#This Row],[ENTRADAS MAYO 2021]]</f>
        <v>160</v>
      </c>
      <c r="Y14" s="33">
        <f>+Tabla1[[#This Row],[STOCK MAYO 2021]]-Tabla1[[#This Row],[REQUISICIONES JUNIO 2021]]+Tabla1[[#This Row],[ENTRADAS JUNIO 2021]]</f>
        <v>157</v>
      </c>
      <c r="Z14" s="30" t="s">
        <v>12</v>
      </c>
      <c r="AA14" s="34">
        <v>3.22</v>
      </c>
      <c r="AB14" s="35">
        <f t="shared" si="0"/>
        <v>3.7996000000000003</v>
      </c>
      <c r="AC14" s="93">
        <f>Tabla1[[#This Row],[STOCK JUNIO ]]*Tabla1[[#This Row],[COSTO UNITARIO SIN ITBIS]]</f>
        <v>505.54</v>
      </c>
    </row>
    <row r="15" spans="1:31" s="8" customFormat="1" x14ac:dyDescent="0.25">
      <c r="A15" s="261">
        <v>6</v>
      </c>
      <c r="B15" s="117">
        <v>44285</v>
      </c>
      <c r="C15" s="28" t="s">
        <v>11</v>
      </c>
      <c r="D15" s="117">
        <v>44285</v>
      </c>
      <c r="E15" s="138" t="s">
        <v>739</v>
      </c>
      <c r="F15" s="118"/>
      <c r="G15" s="32" t="s">
        <v>737</v>
      </c>
      <c r="H15" s="120"/>
      <c r="I15" s="120"/>
      <c r="J15" s="120">
        <f>+'INVENTARIO ABRIL-JUNIO 2021'!$H15-'INVENTARIO ABRIL-JUNIO 2021'!$I15</f>
        <v>0</v>
      </c>
      <c r="K15" s="120"/>
      <c r="L15" s="120">
        <v>50</v>
      </c>
      <c r="M15" s="120"/>
      <c r="N15" s="120"/>
      <c r="O15" s="121"/>
      <c r="P15" s="120"/>
      <c r="Q15" s="120"/>
      <c r="R15" s="120">
        <v>6</v>
      </c>
      <c r="S15" s="120"/>
      <c r="T15" s="120"/>
      <c r="U15" s="121">
        <f>+Tabla1[[#This Row],[STOCK    FISICO ENERO 2021]]-Tabla1[[#This Row],[REQUISICIONES FEBRERO 2021]]</f>
        <v>0</v>
      </c>
      <c r="V15" s="121">
        <f>+Tabla1[[#This Row],[STOCK  FEBRERO 2021]]-Tabla1[[#This Row],[REQUISICIONES MARZO 2021]]+Tabla1[[#This Row],[ENTRADAS MARZO 2021]]</f>
        <v>50</v>
      </c>
      <c r="W15" s="121">
        <f>+Tabla1[[#This Row],[STOCK MARZO 2021]]-Tabla1[[#This Row],[REQUISICIONES ABRIL 2021]]+Tabla1[[#This Row],[ENTRADAS ABRIL 2021]]</f>
        <v>44</v>
      </c>
      <c r="X15" s="121">
        <f>+Tabla1[[#This Row],[STOCK ABRIL 2021]]-Tabla1[[#This Row],[REQUISICIONES MAYO 2021]]+Tabla1[[#This Row],[ENTRADAS MAYO 2021]]</f>
        <v>44</v>
      </c>
      <c r="Y15" s="121">
        <f>+Tabla1[[#This Row],[STOCK MAYO 2021]]-Tabla1[[#This Row],[REQUISICIONES JUNIO 2021]]+Tabla1[[#This Row],[ENTRADAS JUNIO 2021]]</f>
        <v>44</v>
      </c>
      <c r="Z15" s="30" t="s">
        <v>12</v>
      </c>
      <c r="AA15" s="122">
        <v>5.5</v>
      </c>
      <c r="AB15" s="93">
        <f t="shared" si="0"/>
        <v>6.49</v>
      </c>
      <c r="AC15" s="93">
        <f>Tabla1[[#This Row],[STOCK JUNIO ]]*Tabla1[[#This Row],[COSTO UNITARIO SIN ITBIS]]</f>
        <v>242</v>
      </c>
    </row>
    <row r="16" spans="1:31" s="8" customFormat="1" x14ac:dyDescent="0.25">
      <c r="A16" s="261">
        <v>7</v>
      </c>
      <c r="B16" s="31">
        <v>43440</v>
      </c>
      <c r="C16" s="28" t="s">
        <v>11</v>
      </c>
      <c r="D16" s="31">
        <v>43440</v>
      </c>
      <c r="E16" s="137"/>
      <c r="F16" s="28">
        <v>1414</v>
      </c>
      <c r="G16" s="32" t="s">
        <v>17</v>
      </c>
      <c r="H16" s="33">
        <v>2</v>
      </c>
      <c r="I16" s="33"/>
      <c r="J16" s="33">
        <f>+'INVENTARIO ABRIL-JUNIO 2021'!$H16-'INVENTARIO ABRIL-JUNIO 2021'!$I16</f>
        <v>2</v>
      </c>
      <c r="K16" s="33"/>
      <c r="L16" s="33"/>
      <c r="M16" s="33"/>
      <c r="N16" s="33"/>
      <c r="O16" s="167"/>
      <c r="P16" s="33"/>
      <c r="Q16" s="33"/>
      <c r="R16" s="33">
        <f>1+1</f>
        <v>2</v>
      </c>
      <c r="S16" s="33"/>
      <c r="T16" s="33"/>
      <c r="U16" s="33">
        <f>+Tabla1[[#This Row],[STOCK    FISICO ENERO 2021]]-Tabla1[[#This Row],[REQUISICIONES FEBRERO 2021]]</f>
        <v>2</v>
      </c>
      <c r="V16" s="33">
        <f>+Tabla1[[#This Row],[STOCK  FEBRERO 2021]]-Tabla1[[#This Row],[REQUISICIONES MARZO 2021]]+Tabla1[[#This Row],[ENTRADAS MARZO 2021]]</f>
        <v>2</v>
      </c>
      <c r="W16" s="33">
        <f>+Tabla1[[#This Row],[STOCK MARZO 2021]]-Tabla1[[#This Row],[REQUISICIONES ABRIL 2021]]+Tabla1[[#This Row],[ENTRADAS ABRIL 2021]]</f>
        <v>0</v>
      </c>
      <c r="X16" s="33">
        <f>+Tabla1[[#This Row],[STOCK ABRIL 2021]]-Tabla1[[#This Row],[REQUISICIONES MAYO 2021]]+Tabla1[[#This Row],[ENTRADAS MAYO 2021]]</f>
        <v>0</v>
      </c>
      <c r="Y16" s="33">
        <f>+Tabla1[[#This Row],[STOCK MAYO 2021]]-Tabla1[[#This Row],[REQUISICIONES JUNIO 2021]]+Tabla1[[#This Row],[ENTRADAS JUNIO 2021]]</f>
        <v>0</v>
      </c>
      <c r="Z16" s="30" t="s">
        <v>12</v>
      </c>
      <c r="AA16" s="34">
        <v>27.08</v>
      </c>
      <c r="AB16" s="35">
        <f t="shared" si="0"/>
        <v>31.9544</v>
      </c>
      <c r="AC16" s="93">
        <f>Tabla1[[#This Row],[STOCK JUNIO ]]*Tabla1[[#This Row],[COSTO UNITARIO SIN ITBIS]]</f>
        <v>0</v>
      </c>
    </row>
    <row r="17" spans="1:29" s="8" customFormat="1" x14ac:dyDescent="0.25">
      <c r="A17" s="261">
        <v>8</v>
      </c>
      <c r="B17" s="31">
        <v>44291</v>
      </c>
      <c r="C17" s="28" t="s">
        <v>11</v>
      </c>
      <c r="D17" s="31">
        <v>44291</v>
      </c>
      <c r="E17" s="158" t="s">
        <v>784</v>
      </c>
      <c r="F17" s="69"/>
      <c r="G17" s="32" t="s">
        <v>786</v>
      </c>
      <c r="H17" s="63"/>
      <c r="I17" s="63"/>
      <c r="J17" s="120">
        <f>+'INVENTARIO ABRIL-JUNIO 2021'!$H17-'INVENTARIO ABRIL-JUNIO 2021'!$I17</f>
        <v>0</v>
      </c>
      <c r="K17" s="63"/>
      <c r="L17" s="63"/>
      <c r="M17" s="63">
        <v>13</v>
      </c>
      <c r="N17" s="63"/>
      <c r="O17" s="125"/>
      <c r="P17" s="63"/>
      <c r="Q17" s="63"/>
      <c r="R17" s="63"/>
      <c r="S17" s="63">
        <f>3+2</f>
        <v>5</v>
      </c>
      <c r="T17" s="63"/>
      <c r="U17" s="125">
        <f>+Tabla1[[#This Row],[STOCK    FISICO ENERO 2021]]-Tabla1[[#This Row],[REQUISICIONES FEBRERO 2021]]</f>
        <v>0</v>
      </c>
      <c r="V17" s="125">
        <f>+Tabla1[[#This Row],[STOCK  FEBRERO 2021]]-Tabla1[[#This Row],[REQUISICIONES MARZO 2021]]+Tabla1[[#This Row],[ENTRADAS MARZO 2021]]</f>
        <v>0</v>
      </c>
      <c r="W17" s="167">
        <f>+Tabla1[[#This Row],[STOCK MARZO 2021]]-Tabla1[[#This Row],[REQUISICIONES ABRIL 2021]]+Tabla1[[#This Row],[ENTRADAS ABRIL 2021]]</f>
        <v>13</v>
      </c>
      <c r="X17" s="167">
        <f>+Tabla1[[#This Row],[STOCK ABRIL 2021]]-Tabla1[[#This Row],[REQUISICIONES MAYO 2021]]+Tabla1[[#This Row],[ENTRADAS MAYO 2021]]</f>
        <v>8</v>
      </c>
      <c r="Y17" s="167">
        <f>+Tabla1[[#This Row],[STOCK MAYO 2021]]-Tabla1[[#This Row],[REQUISICIONES JUNIO 2021]]+Tabla1[[#This Row],[ENTRADAS JUNIO 2021]]</f>
        <v>8</v>
      </c>
      <c r="Z17" s="30" t="s">
        <v>12</v>
      </c>
      <c r="AA17" s="34">
        <v>24</v>
      </c>
      <c r="AB17" s="35">
        <f t="shared" si="0"/>
        <v>28.32</v>
      </c>
      <c r="AC17" s="93">
        <f>Tabla1[[#This Row],[STOCK JUNIO ]]*Tabla1[[#This Row],[COSTO UNITARIO SIN ITBIS]]</f>
        <v>192</v>
      </c>
    </row>
    <row r="18" spans="1:29" s="8" customFormat="1" ht="24.75" x14ac:dyDescent="0.25">
      <c r="A18" s="261">
        <v>9</v>
      </c>
      <c r="B18" s="31">
        <v>43440</v>
      </c>
      <c r="C18" s="28" t="s">
        <v>11</v>
      </c>
      <c r="D18" s="31">
        <v>43440</v>
      </c>
      <c r="E18" s="137"/>
      <c r="F18" s="28">
        <v>1360</v>
      </c>
      <c r="G18" s="32" t="s">
        <v>18</v>
      </c>
      <c r="H18" s="104">
        <f>89+1875</f>
        <v>1964</v>
      </c>
      <c r="I18" s="104">
        <v>8</v>
      </c>
      <c r="J18" s="104">
        <f>+'INVENTARIO ABRIL-JUNIO 2021'!$H18-'INVENTARIO ABRIL-JUNIO 2021'!$I18</f>
        <v>1956</v>
      </c>
      <c r="K18" s="104"/>
      <c r="L18" s="104"/>
      <c r="M18" s="104"/>
      <c r="N18" s="104"/>
      <c r="O18" s="291"/>
      <c r="P18" s="104">
        <f>30+6+10+10+10</f>
        <v>66</v>
      </c>
      <c r="Q18" s="104">
        <f>15+5</f>
        <v>20</v>
      </c>
      <c r="R18" s="104">
        <f>10+5+10</f>
        <v>25</v>
      </c>
      <c r="S18" s="104">
        <f>7+5+15+15</f>
        <v>42</v>
      </c>
      <c r="T18" s="104">
        <f>10+10</f>
        <v>20</v>
      </c>
      <c r="U18" s="104">
        <f>+Tabla1[[#This Row],[STOCK    FISICO ENERO 2021]]-Tabla1[[#This Row],[REQUISICIONES FEBRERO 2021]]</f>
        <v>1890</v>
      </c>
      <c r="V18" s="104">
        <f>+Tabla1[[#This Row],[STOCK  FEBRERO 2021]]-Tabla1[[#This Row],[REQUISICIONES MARZO 2021]]+Tabla1[[#This Row],[ENTRADAS MARZO 2021]]</f>
        <v>1870</v>
      </c>
      <c r="W18" s="104">
        <f>+Tabla1[[#This Row],[STOCK MARZO 2021]]-Tabla1[[#This Row],[REQUISICIONES ABRIL 2021]]+Tabla1[[#This Row],[ENTRADAS ABRIL 2021]]</f>
        <v>1845</v>
      </c>
      <c r="X18" s="104">
        <f>+Tabla1[[#This Row],[STOCK ABRIL 2021]]-Tabla1[[#This Row],[REQUISICIONES MAYO 2021]]+Tabla1[[#This Row],[ENTRADAS MAYO 2021]]</f>
        <v>1803</v>
      </c>
      <c r="Y18" s="104">
        <f>+Tabla1[[#This Row],[STOCK MAYO 2021]]-Tabla1[[#This Row],[REQUISICIONES JUNIO 2021]]+Tabla1[[#This Row],[ENTRADAS JUNIO 2021]]</f>
        <v>1783</v>
      </c>
      <c r="Z18" s="33" t="s">
        <v>12</v>
      </c>
      <c r="AA18" s="34">
        <v>64.900000000000006</v>
      </c>
      <c r="AB18" s="39">
        <f t="shared" si="0"/>
        <v>76.582000000000008</v>
      </c>
      <c r="AC18" s="93">
        <f>Tabla1[[#This Row],[STOCK JUNIO ]]*Tabla1[[#This Row],[COSTO UNITARIO SIN ITBIS]]</f>
        <v>115716.70000000001</v>
      </c>
    </row>
    <row r="19" spans="1:29" s="8" customFormat="1" x14ac:dyDescent="0.25">
      <c r="A19" s="261">
        <v>10</v>
      </c>
      <c r="B19" s="117">
        <v>44286</v>
      </c>
      <c r="C19" s="28" t="s">
        <v>11</v>
      </c>
      <c r="D19" s="117">
        <v>44286</v>
      </c>
      <c r="E19" s="138" t="s">
        <v>767</v>
      </c>
      <c r="F19" s="118"/>
      <c r="G19" s="119" t="s">
        <v>770</v>
      </c>
      <c r="H19" s="126"/>
      <c r="I19" s="126"/>
      <c r="J19" s="120">
        <f>+'INVENTARIO ABRIL-JUNIO 2021'!$H19-'INVENTARIO ABRIL-JUNIO 2021'!$I19</f>
        <v>0</v>
      </c>
      <c r="K19" s="126"/>
      <c r="L19" s="126">
        <v>150</v>
      </c>
      <c r="M19" s="126"/>
      <c r="N19" s="126"/>
      <c r="O19" s="121"/>
      <c r="P19" s="126"/>
      <c r="Q19" s="126"/>
      <c r="R19" s="126"/>
      <c r="S19" s="126">
        <f>7+125+5+10+3</f>
        <v>150</v>
      </c>
      <c r="T19" s="126"/>
      <c r="U19" s="121">
        <f>+Tabla1[[#This Row],[STOCK    FISICO ENERO 2021]]-Tabla1[[#This Row],[REQUISICIONES FEBRERO 2021]]</f>
        <v>0</v>
      </c>
      <c r="V19" s="121">
        <f>+Tabla1[[#This Row],[STOCK  FEBRERO 2021]]-Tabla1[[#This Row],[REQUISICIONES MARZO 2021]]+Tabla1[[#This Row],[ENTRADAS MARZO 2021]]</f>
        <v>150</v>
      </c>
      <c r="W19" s="121">
        <f>+Tabla1[[#This Row],[STOCK MARZO 2021]]-Tabla1[[#This Row],[REQUISICIONES ABRIL 2021]]+Tabla1[[#This Row],[ENTRADAS ABRIL 2021]]</f>
        <v>150</v>
      </c>
      <c r="X19" s="121">
        <f>+Tabla1[[#This Row],[STOCK ABRIL 2021]]-Tabla1[[#This Row],[REQUISICIONES MAYO 2021]]+Tabla1[[#This Row],[ENTRADAS MAYO 2021]]</f>
        <v>0</v>
      </c>
      <c r="Y19" s="121">
        <f>+Tabla1[[#This Row],[STOCK MAYO 2021]]-Tabla1[[#This Row],[REQUISICIONES JUNIO 2021]]+Tabla1[[#This Row],[ENTRADAS JUNIO 2021]]</f>
        <v>0</v>
      </c>
      <c r="Z19" s="33" t="s">
        <v>12</v>
      </c>
      <c r="AA19" s="122">
        <v>120</v>
      </c>
      <c r="AB19" s="94">
        <f t="shared" si="0"/>
        <v>141.6</v>
      </c>
      <c r="AC19" s="93">
        <f>Tabla1[[#This Row],[STOCK JUNIO ]]*Tabla1[[#This Row],[COSTO UNITARIO SIN ITBIS]]</f>
        <v>0</v>
      </c>
    </row>
    <row r="20" spans="1:29" s="8" customFormat="1" x14ac:dyDescent="0.25">
      <c r="A20" s="261">
        <v>11</v>
      </c>
      <c r="B20" s="117">
        <v>44319</v>
      </c>
      <c r="C20" s="28" t="s">
        <v>11</v>
      </c>
      <c r="D20" s="117">
        <v>3</v>
      </c>
      <c r="E20" s="138" t="s">
        <v>767</v>
      </c>
      <c r="F20" s="166"/>
      <c r="G20" s="119" t="s">
        <v>877</v>
      </c>
      <c r="H20" s="126"/>
      <c r="I20" s="126"/>
      <c r="J20" s="120">
        <f>+'INVENTARIO ABRIL-JUNIO 2021'!$H20-'INVENTARIO ABRIL-JUNIO 2021'!$I20</f>
        <v>0</v>
      </c>
      <c r="K20" s="126"/>
      <c r="L20" s="126"/>
      <c r="M20" s="126"/>
      <c r="N20" s="126">
        <v>160</v>
      </c>
      <c r="O20" s="121"/>
      <c r="P20" s="126"/>
      <c r="Q20" s="126"/>
      <c r="R20" s="126"/>
      <c r="S20" s="126">
        <f>10+10+5+4</f>
        <v>29</v>
      </c>
      <c r="T20" s="126">
        <f>7+10+60</f>
        <v>77</v>
      </c>
      <c r="U20" s="121">
        <f>+Tabla1[[#This Row],[STOCK    FISICO ENERO 2021]]-Tabla1[[#This Row],[REQUISICIONES FEBRERO 2021]]</f>
        <v>0</v>
      </c>
      <c r="V20" s="121">
        <f>+Tabla1[[#This Row],[STOCK  FEBRERO 2021]]-Tabla1[[#This Row],[REQUISICIONES MARZO 2021]]+Tabla1[[#This Row],[ENTRADAS MARZO 2021]]</f>
        <v>0</v>
      </c>
      <c r="W20" s="121">
        <f>+Tabla1[[#This Row],[STOCK MARZO 2021]]-Tabla1[[#This Row],[REQUISICIONES ABRIL 2021]]+Tabla1[[#This Row],[ENTRADAS ABRIL 2021]]</f>
        <v>0</v>
      </c>
      <c r="X20" s="121">
        <f>+Tabla1[[#This Row],[STOCK ABRIL 2021]]-Tabla1[[#This Row],[REQUISICIONES MAYO 2021]]+Tabla1[[#This Row],[ENTRADAS MAYO 2021]]</f>
        <v>131</v>
      </c>
      <c r="Y20" s="121">
        <f>+Tabla1[[#This Row],[STOCK MAYO 2021]]-Tabla1[[#This Row],[REQUISICIONES JUNIO 2021]]+Tabla1[[#This Row],[ENTRADAS JUNIO 2021]]</f>
        <v>54</v>
      </c>
      <c r="Z20" s="33" t="s">
        <v>12</v>
      </c>
      <c r="AA20" s="122">
        <v>260</v>
      </c>
      <c r="AB20" s="94">
        <f t="shared" si="0"/>
        <v>306.8</v>
      </c>
      <c r="AC20" s="93">
        <f>Tabla1[[#This Row],[STOCK JUNIO ]]*Tabla1[[#This Row],[COSTO UNITARIO SIN ITBIS]]</f>
        <v>14040</v>
      </c>
    </row>
    <row r="21" spans="1:29" s="8" customFormat="1" x14ac:dyDescent="0.25">
      <c r="A21" s="261">
        <v>12</v>
      </c>
      <c r="B21" s="42">
        <v>43440</v>
      </c>
      <c r="C21" s="41" t="s">
        <v>11</v>
      </c>
      <c r="D21" s="42">
        <v>43440</v>
      </c>
      <c r="E21" s="139"/>
      <c r="F21" s="43">
        <v>1043</v>
      </c>
      <c r="G21" s="40" t="s">
        <v>19</v>
      </c>
      <c r="H21" s="40">
        <v>84</v>
      </c>
      <c r="I21" s="40"/>
      <c r="J21" s="40">
        <f>+'INVENTARIO ABRIL-JUNIO 2021'!$H21-'INVENTARIO ABRIL-JUNIO 2021'!$I21</f>
        <v>84</v>
      </c>
      <c r="K21" s="40"/>
      <c r="L21" s="40"/>
      <c r="M21" s="40"/>
      <c r="N21" s="40"/>
      <c r="O21" s="168"/>
      <c r="P21" s="40"/>
      <c r="Q21" s="40"/>
      <c r="R21" s="40">
        <f>5+1</f>
        <v>6</v>
      </c>
      <c r="S21" s="40"/>
      <c r="T21" s="40"/>
      <c r="U21" s="40">
        <f>+Tabla1[[#This Row],[STOCK    FISICO ENERO 2021]]-Tabla1[[#This Row],[REQUISICIONES FEBRERO 2021]]</f>
        <v>84</v>
      </c>
      <c r="V21" s="40">
        <f>+Tabla1[[#This Row],[STOCK  FEBRERO 2021]]-Tabla1[[#This Row],[REQUISICIONES MARZO 2021]]+Tabla1[[#This Row],[ENTRADAS MARZO 2021]]</f>
        <v>84</v>
      </c>
      <c r="W21" s="40">
        <f>+Tabla1[[#This Row],[STOCK MARZO 2021]]-Tabla1[[#This Row],[REQUISICIONES ABRIL 2021]]+Tabla1[[#This Row],[ENTRADAS ABRIL 2021]]</f>
        <v>78</v>
      </c>
      <c r="X21" s="40">
        <f>+Tabla1[[#This Row],[STOCK ABRIL 2021]]-Tabla1[[#This Row],[REQUISICIONES MAYO 2021]]+Tabla1[[#This Row],[ENTRADAS MAYO 2021]]</f>
        <v>78</v>
      </c>
      <c r="Y21" s="40">
        <f>+Tabla1[[#This Row],[STOCK MAYO 2021]]-Tabla1[[#This Row],[REQUISICIONES JUNIO 2021]]+Tabla1[[#This Row],[ENTRADAS JUNIO 2021]]</f>
        <v>78</v>
      </c>
      <c r="Z21" s="30" t="s">
        <v>12</v>
      </c>
      <c r="AA21" s="41">
        <v>265.5</v>
      </c>
      <c r="AB21" s="35">
        <f t="shared" si="0"/>
        <v>313.29000000000002</v>
      </c>
      <c r="AC21" s="93">
        <f>Tabla1[[#This Row],[STOCK JUNIO ]]*Tabla1[[#This Row],[COSTO UNITARIO SIN ITBIS]]</f>
        <v>20709</v>
      </c>
    </row>
    <row r="22" spans="1:29" s="12" customFormat="1" x14ac:dyDescent="0.25">
      <c r="A22" s="261">
        <v>13</v>
      </c>
      <c r="B22" s="31">
        <v>43336</v>
      </c>
      <c r="C22" s="28" t="s">
        <v>11</v>
      </c>
      <c r="D22" s="31">
        <v>43336</v>
      </c>
      <c r="E22" s="137"/>
      <c r="F22" s="28">
        <v>1403</v>
      </c>
      <c r="G22" s="32" t="s">
        <v>894</v>
      </c>
      <c r="H22" s="33">
        <v>4</v>
      </c>
      <c r="I22" s="33"/>
      <c r="J22" s="33">
        <f>+'INVENTARIO ABRIL-JUNIO 2021'!$H22-'INVENTARIO ABRIL-JUNIO 2021'!$I22</f>
        <v>4</v>
      </c>
      <c r="K22" s="33"/>
      <c r="L22" s="33"/>
      <c r="M22" s="33"/>
      <c r="N22" s="33"/>
      <c r="O22" s="167"/>
      <c r="P22" s="33">
        <v>1</v>
      </c>
      <c r="Q22" s="33">
        <v>1</v>
      </c>
      <c r="R22" s="33"/>
      <c r="S22" s="33">
        <v>1</v>
      </c>
      <c r="T22" s="33">
        <v>1</v>
      </c>
      <c r="U22" s="33">
        <f>+Tabla1[[#This Row],[STOCK    FISICO ENERO 2021]]-Tabla1[[#This Row],[REQUISICIONES FEBRERO 2021]]</f>
        <v>3</v>
      </c>
      <c r="V22" s="33">
        <f>+Tabla1[[#This Row],[STOCK  FEBRERO 2021]]-Tabla1[[#This Row],[REQUISICIONES MARZO 2021]]+Tabla1[[#This Row],[ENTRADAS MARZO 2021]]</f>
        <v>2</v>
      </c>
      <c r="W22" s="33">
        <f>+Tabla1[[#This Row],[STOCK MARZO 2021]]-Tabla1[[#This Row],[REQUISICIONES ABRIL 2021]]+Tabla1[[#This Row],[ENTRADAS ABRIL 2021]]</f>
        <v>2</v>
      </c>
      <c r="X22" s="33">
        <f>+Tabla1[[#This Row],[STOCK ABRIL 2021]]-Tabla1[[#This Row],[REQUISICIONES MAYO 2021]]+Tabla1[[#This Row],[ENTRADAS MAYO 2021]]</f>
        <v>1</v>
      </c>
      <c r="Y22" s="33">
        <f>+Tabla1[[#This Row],[STOCK MAYO 2021]]-Tabla1[[#This Row],[REQUISICIONES JUNIO 2021]]+Tabla1[[#This Row],[ENTRADAS JUNIO 2021]]</f>
        <v>0</v>
      </c>
      <c r="Z22" s="30" t="s">
        <v>12</v>
      </c>
      <c r="AA22" s="34">
        <v>4409.99</v>
      </c>
      <c r="AB22" s="35">
        <f t="shared" si="0"/>
        <v>5203.7882</v>
      </c>
      <c r="AC22" s="93">
        <f>Tabla1[[#This Row],[STOCK JUNIO ]]*Tabla1[[#This Row],[COSTO UNITARIO SIN ITBIS]]</f>
        <v>0</v>
      </c>
    </row>
    <row r="23" spans="1:29" s="8" customFormat="1" x14ac:dyDescent="0.25">
      <c r="A23" s="261">
        <v>14</v>
      </c>
      <c r="B23" s="31">
        <v>44109</v>
      </c>
      <c r="C23" s="28" t="s">
        <v>11</v>
      </c>
      <c r="D23" s="31">
        <v>44109</v>
      </c>
      <c r="E23" s="137"/>
      <c r="F23" s="44"/>
      <c r="G23" s="32" t="s">
        <v>21</v>
      </c>
      <c r="H23" s="33">
        <v>1</v>
      </c>
      <c r="I23" s="33"/>
      <c r="J23" s="33">
        <f>+'INVENTARIO ABRIL-JUNIO 2021'!$H23-'INVENTARIO ABRIL-JUNIO 2021'!$I23</f>
        <v>1</v>
      </c>
      <c r="K23" s="33"/>
      <c r="L23" s="33"/>
      <c r="M23" s="33"/>
      <c r="N23" s="33"/>
      <c r="O23" s="167"/>
      <c r="P23" s="33"/>
      <c r="Q23" s="33"/>
      <c r="R23" s="33"/>
      <c r="S23" s="33"/>
      <c r="T23" s="33"/>
      <c r="U23" s="33">
        <f>+Tabla1[[#This Row],[STOCK    FISICO ENERO 2021]]-Tabla1[[#This Row],[REQUISICIONES FEBRERO 2021]]</f>
        <v>1</v>
      </c>
      <c r="V23" s="33">
        <f>+Tabla1[[#This Row],[STOCK  FEBRERO 2021]]-Tabla1[[#This Row],[REQUISICIONES MARZO 2021]]+Tabla1[[#This Row],[ENTRADAS MARZO 2021]]</f>
        <v>1</v>
      </c>
      <c r="W23" s="33">
        <f>+Tabla1[[#This Row],[STOCK MARZO 2021]]-Tabla1[[#This Row],[REQUISICIONES ABRIL 2021]]+Tabla1[[#This Row],[ENTRADAS ABRIL 2021]]</f>
        <v>1</v>
      </c>
      <c r="X23" s="33">
        <f>+Tabla1[[#This Row],[STOCK ABRIL 2021]]-Tabla1[[#This Row],[REQUISICIONES MAYO 2021]]+Tabla1[[#This Row],[ENTRADAS MAYO 2021]]</f>
        <v>1</v>
      </c>
      <c r="Y23" s="33">
        <f>+Tabla1[[#This Row],[STOCK MAYO 2021]]-Tabla1[[#This Row],[REQUISICIONES JUNIO 2021]]+Tabla1[[#This Row],[ENTRADAS JUNIO 2021]]</f>
        <v>1</v>
      </c>
      <c r="Z23" s="30" t="s">
        <v>12</v>
      </c>
      <c r="AA23" s="45">
        <v>0</v>
      </c>
      <c r="AB23" s="35">
        <f t="shared" si="0"/>
        <v>0</v>
      </c>
      <c r="AC23" s="93">
        <f>Tabla1[[#This Row],[STOCK JUNIO ]]*Tabla1[[#This Row],[COSTO UNITARIO SIN ITBIS]]</f>
        <v>0</v>
      </c>
    </row>
    <row r="24" spans="1:29" s="8" customFormat="1" x14ac:dyDescent="0.25">
      <c r="A24" s="261">
        <v>15</v>
      </c>
      <c r="B24" s="31">
        <v>43440</v>
      </c>
      <c r="C24" s="28" t="s">
        <v>11</v>
      </c>
      <c r="D24" s="31">
        <v>44075</v>
      </c>
      <c r="E24" s="137"/>
      <c r="F24" s="28">
        <v>1390</v>
      </c>
      <c r="G24" s="47" t="s">
        <v>22</v>
      </c>
      <c r="H24" s="46">
        <v>300</v>
      </c>
      <c r="I24" s="46">
        <v>50</v>
      </c>
      <c r="J24" s="46">
        <f>+'INVENTARIO ABRIL-JUNIO 2021'!$H24-'INVENTARIO ABRIL-JUNIO 2021'!$I24</f>
        <v>250</v>
      </c>
      <c r="K24" s="46"/>
      <c r="L24" s="46"/>
      <c r="M24" s="46"/>
      <c r="N24" s="46"/>
      <c r="O24" s="167"/>
      <c r="P24" s="46">
        <f>25+25</f>
        <v>50</v>
      </c>
      <c r="Q24" s="46"/>
      <c r="R24" s="46"/>
      <c r="S24" s="46">
        <v>25</v>
      </c>
      <c r="T24" s="46"/>
      <c r="U24" s="46">
        <f>+Tabla1[[#This Row],[STOCK    FISICO ENERO 2021]]-Tabla1[[#This Row],[REQUISICIONES FEBRERO 2021]]</f>
        <v>200</v>
      </c>
      <c r="V24" s="46">
        <f>+Tabla1[[#This Row],[STOCK  FEBRERO 2021]]-Tabla1[[#This Row],[REQUISICIONES MARZO 2021]]+Tabla1[[#This Row],[ENTRADAS MARZO 2021]]</f>
        <v>200</v>
      </c>
      <c r="W24" s="46">
        <f>+Tabla1[[#This Row],[STOCK MARZO 2021]]-Tabla1[[#This Row],[REQUISICIONES ABRIL 2021]]+Tabla1[[#This Row],[ENTRADAS ABRIL 2021]]</f>
        <v>200</v>
      </c>
      <c r="X24" s="46">
        <f>+Tabla1[[#This Row],[STOCK ABRIL 2021]]-Tabla1[[#This Row],[REQUISICIONES MAYO 2021]]+Tabla1[[#This Row],[ENTRADAS MAYO 2021]]</f>
        <v>175</v>
      </c>
      <c r="Y24" s="46">
        <f>+Tabla1[[#This Row],[STOCK MAYO 2021]]-Tabla1[[#This Row],[REQUISICIONES JUNIO 2021]]+Tabla1[[#This Row],[ENTRADAS JUNIO 2021]]</f>
        <v>175</v>
      </c>
      <c r="Z24" s="48" t="s">
        <v>12</v>
      </c>
      <c r="AA24" s="34">
        <v>12.56</v>
      </c>
      <c r="AB24" s="39">
        <f t="shared" si="0"/>
        <v>14.8208</v>
      </c>
      <c r="AC24" s="93">
        <f>Tabla1[[#This Row],[STOCK JUNIO ]]*Tabla1[[#This Row],[COSTO UNITARIO SIN ITBIS]]</f>
        <v>2198</v>
      </c>
    </row>
    <row r="25" spans="1:29" s="8" customFormat="1" x14ac:dyDescent="0.25">
      <c r="A25" s="261">
        <v>16</v>
      </c>
      <c r="B25" s="117">
        <v>44286</v>
      </c>
      <c r="C25" s="28" t="s">
        <v>11</v>
      </c>
      <c r="D25" s="117">
        <v>44286</v>
      </c>
      <c r="E25" s="138" t="s">
        <v>767</v>
      </c>
      <c r="F25" s="118"/>
      <c r="G25" s="47" t="s">
        <v>769</v>
      </c>
      <c r="H25" s="126"/>
      <c r="I25" s="126"/>
      <c r="J25" s="120">
        <f>+'INVENTARIO ABRIL-JUNIO 2021'!$H25-'INVENTARIO ABRIL-JUNIO 2021'!$I25</f>
        <v>0</v>
      </c>
      <c r="K25" s="126"/>
      <c r="L25" s="126">
        <f>4*25</f>
        <v>100</v>
      </c>
      <c r="M25" s="126"/>
      <c r="N25" s="126"/>
      <c r="O25" s="121"/>
      <c r="P25" s="126"/>
      <c r="Q25" s="126"/>
      <c r="R25" s="126"/>
      <c r="S25" s="126"/>
      <c r="T25" s="126"/>
      <c r="U25" s="121">
        <f>+Tabla1[[#This Row],[STOCK    FISICO ENERO 2021]]-Tabla1[[#This Row],[REQUISICIONES FEBRERO 2021]]</f>
        <v>0</v>
      </c>
      <c r="V25" s="121">
        <f>+Tabla1[[#This Row],[STOCK  FEBRERO 2021]]-Tabla1[[#This Row],[REQUISICIONES MARZO 2021]]+Tabla1[[#This Row],[ENTRADAS MARZO 2021]]</f>
        <v>100</v>
      </c>
      <c r="W25" s="121">
        <f>+Tabla1[[#This Row],[STOCK MARZO 2021]]-Tabla1[[#This Row],[REQUISICIONES ABRIL 2021]]+Tabla1[[#This Row],[ENTRADAS ABRIL 2021]]</f>
        <v>100</v>
      </c>
      <c r="X25" s="121">
        <f>+Tabla1[[#This Row],[STOCK ABRIL 2021]]-Tabla1[[#This Row],[REQUISICIONES MAYO 2021]]+Tabla1[[#This Row],[ENTRADAS MAYO 2021]]</f>
        <v>100</v>
      </c>
      <c r="Y25" s="121">
        <f>+Tabla1[[#This Row],[STOCK MAYO 2021]]-Tabla1[[#This Row],[REQUISICIONES JUNIO 2021]]+Tabla1[[#This Row],[ENTRADAS JUNIO 2021]]</f>
        <v>100</v>
      </c>
      <c r="Z25" s="48" t="s">
        <v>12</v>
      </c>
      <c r="AA25" s="122">
        <v>16</v>
      </c>
      <c r="AB25" s="94">
        <f t="shared" si="0"/>
        <v>18.88</v>
      </c>
      <c r="AC25" s="93">
        <f>Tabla1[[#This Row],[STOCK JUNIO ]]*Tabla1[[#This Row],[COSTO UNITARIO SIN ITBIS]]</f>
        <v>1600</v>
      </c>
    </row>
    <row r="26" spans="1:29" s="8" customFormat="1" x14ac:dyDescent="0.25">
      <c r="A26" s="261">
        <v>17</v>
      </c>
      <c r="B26" s="31">
        <v>43724</v>
      </c>
      <c r="C26" s="28" t="s">
        <v>11</v>
      </c>
      <c r="D26" s="31">
        <v>43724</v>
      </c>
      <c r="E26" s="137"/>
      <c r="F26" s="28">
        <v>1389</v>
      </c>
      <c r="G26" s="32" t="s">
        <v>700</v>
      </c>
      <c r="H26" s="46">
        <v>500</v>
      </c>
      <c r="I26" s="46"/>
      <c r="J26" s="46">
        <f>+'INVENTARIO ABRIL-JUNIO 2021'!$H26-'INVENTARIO ABRIL-JUNIO 2021'!$I26</f>
        <v>500</v>
      </c>
      <c r="K26" s="46"/>
      <c r="L26" s="46"/>
      <c r="M26" s="46"/>
      <c r="N26" s="46"/>
      <c r="O26" s="167"/>
      <c r="P26" s="46">
        <v>75</v>
      </c>
      <c r="Q26" s="46">
        <v>50</v>
      </c>
      <c r="R26" s="46">
        <f>25+50</f>
        <v>75</v>
      </c>
      <c r="S26" s="46"/>
      <c r="T26" s="46"/>
      <c r="U26" s="46">
        <f>+Tabla1[[#This Row],[STOCK    FISICO ENERO 2021]]-Tabla1[[#This Row],[REQUISICIONES FEBRERO 2021]]</f>
        <v>425</v>
      </c>
      <c r="V26" s="46">
        <f>+Tabla1[[#This Row],[STOCK  FEBRERO 2021]]-Tabla1[[#This Row],[REQUISICIONES MARZO 2021]]+Tabla1[[#This Row],[ENTRADAS MARZO 2021]]</f>
        <v>375</v>
      </c>
      <c r="W26" s="46">
        <f>+Tabla1[[#This Row],[STOCK MARZO 2021]]-Tabla1[[#This Row],[REQUISICIONES ABRIL 2021]]+Tabla1[[#This Row],[ENTRADAS ABRIL 2021]]</f>
        <v>300</v>
      </c>
      <c r="X26" s="46">
        <f>+Tabla1[[#This Row],[STOCK ABRIL 2021]]-Tabla1[[#This Row],[REQUISICIONES MAYO 2021]]+Tabla1[[#This Row],[ENTRADAS MAYO 2021]]</f>
        <v>300</v>
      </c>
      <c r="Y26" s="46">
        <f>+Tabla1[[#This Row],[STOCK MAYO 2021]]-Tabla1[[#This Row],[REQUISICIONES JUNIO 2021]]+Tabla1[[#This Row],[ENTRADAS JUNIO 2021]]</f>
        <v>300</v>
      </c>
      <c r="Z26" s="40" t="s">
        <v>12</v>
      </c>
      <c r="AA26" s="34">
        <v>10.6</v>
      </c>
      <c r="AB26" s="35">
        <f t="shared" si="0"/>
        <v>12.507999999999999</v>
      </c>
      <c r="AC26" s="93">
        <f>Tabla1[[#This Row],[STOCK JUNIO ]]*Tabla1[[#This Row],[COSTO UNITARIO SIN ITBIS]]</f>
        <v>3180</v>
      </c>
    </row>
    <row r="27" spans="1:29" s="8" customFormat="1" x14ac:dyDescent="0.25">
      <c r="A27" s="261">
        <v>18</v>
      </c>
      <c r="B27" s="117">
        <v>44286</v>
      </c>
      <c r="C27" s="28" t="s">
        <v>11</v>
      </c>
      <c r="D27" s="117">
        <v>44286</v>
      </c>
      <c r="E27" s="138" t="s">
        <v>767</v>
      </c>
      <c r="F27" s="118"/>
      <c r="G27" s="32" t="s">
        <v>700</v>
      </c>
      <c r="H27" s="126"/>
      <c r="I27" s="126"/>
      <c r="J27" s="120">
        <f>+'INVENTARIO ABRIL-JUNIO 2021'!$H27-'INVENTARIO ABRIL-JUNIO 2021'!$I27</f>
        <v>0</v>
      </c>
      <c r="K27" s="126"/>
      <c r="L27" s="126">
        <f>10*25</f>
        <v>250</v>
      </c>
      <c r="M27" s="126"/>
      <c r="N27" s="126"/>
      <c r="O27" s="121"/>
      <c r="P27" s="126"/>
      <c r="Q27" s="126"/>
      <c r="R27" s="126"/>
      <c r="S27" s="126"/>
      <c r="T27" s="126"/>
      <c r="U27" s="121">
        <f>+Tabla1[[#This Row],[STOCK    FISICO ENERO 2021]]-Tabla1[[#This Row],[REQUISICIONES FEBRERO 2021]]</f>
        <v>0</v>
      </c>
      <c r="V27" s="121">
        <f>+Tabla1[[#This Row],[STOCK  FEBRERO 2021]]-Tabla1[[#This Row],[REQUISICIONES MARZO 2021]]+Tabla1[[#This Row],[ENTRADAS MARZO 2021]]</f>
        <v>250</v>
      </c>
      <c r="W27" s="121">
        <f>+Tabla1[[#This Row],[STOCK MARZO 2021]]-Tabla1[[#This Row],[REQUISICIONES ABRIL 2021]]+Tabla1[[#This Row],[ENTRADAS ABRIL 2021]]</f>
        <v>250</v>
      </c>
      <c r="X27" s="121">
        <f>+Tabla1[[#This Row],[STOCK ABRIL 2021]]-Tabla1[[#This Row],[REQUISICIONES MAYO 2021]]+Tabla1[[#This Row],[ENTRADAS MAYO 2021]]</f>
        <v>250</v>
      </c>
      <c r="Y27" s="121">
        <f>+Tabla1[[#This Row],[STOCK MAYO 2021]]-Tabla1[[#This Row],[REQUISICIONES JUNIO 2021]]+Tabla1[[#This Row],[ENTRADAS JUNIO 2021]]</f>
        <v>250</v>
      </c>
      <c r="Z27" s="40" t="s">
        <v>12</v>
      </c>
      <c r="AA27" s="122">
        <v>12</v>
      </c>
      <c r="AB27" s="93">
        <f t="shared" si="0"/>
        <v>14.16</v>
      </c>
      <c r="AC27" s="93">
        <f>Tabla1[[#This Row],[STOCK JUNIO ]]*Tabla1[[#This Row],[COSTO UNITARIO SIN ITBIS]]</f>
        <v>3000</v>
      </c>
    </row>
    <row r="28" spans="1:29" s="8" customFormat="1" x14ac:dyDescent="0.25">
      <c r="A28" s="261">
        <v>19</v>
      </c>
      <c r="B28" s="42">
        <v>43724</v>
      </c>
      <c r="C28" s="41" t="s">
        <v>11</v>
      </c>
      <c r="D28" s="42">
        <v>43724</v>
      </c>
      <c r="E28" s="139"/>
      <c r="F28" s="43">
        <v>1036</v>
      </c>
      <c r="G28" s="40" t="s">
        <v>23</v>
      </c>
      <c r="H28" s="40">
        <f>78+156</f>
        <v>234</v>
      </c>
      <c r="I28" s="40"/>
      <c r="J28" s="40">
        <f>+'INVENTARIO ABRIL-JUNIO 2021'!$H28-'INVENTARIO ABRIL-JUNIO 2021'!$I28</f>
        <v>234</v>
      </c>
      <c r="K28" s="40"/>
      <c r="L28" s="40"/>
      <c r="M28" s="40"/>
      <c r="N28" s="40"/>
      <c r="O28" s="168"/>
      <c r="P28" s="40">
        <v>3</v>
      </c>
      <c r="Q28" s="40">
        <f>1+5</f>
        <v>6</v>
      </c>
      <c r="R28" s="40">
        <f>2+1+2+1</f>
        <v>6</v>
      </c>
      <c r="S28" s="40">
        <f>4+3</f>
        <v>7</v>
      </c>
      <c r="T28" s="40">
        <f>4+3+2</f>
        <v>9</v>
      </c>
      <c r="U28" s="40">
        <f>+Tabla1[[#This Row],[STOCK    FISICO ENERO 2021]]-Tabla1[[#This Row],[REQUISICIONES FEBRERO 2021]]</f>
        <v>231</v>
      </c>
      <c r="V28" s="40">
        <f>+Tabla1[[#This Row],[STOCK  FEBRERO 2021]]-Tabla1[[#This Row],[REQUISICIONES MARZO 2021]]+Tabla1[[#This Row],[ENTRADAS MARZO 2021]]</f>
        <v>225</v>
      </c>
      <c r="W28" s="40">
        <f>+Tabla1[[#This Row],[STOCK MARZO 2021]]-Tabla1[[#This Row],[REQUISICIONES ABRIL 2021]]+Tabla1[[#This Row],[ENTRADAS ABRIL 2021]]</f>
        <v>219</v>
      </c>
      <c r="X28" s="40">
        <f>+Tabla1[[#This Row],[STOCK ABRIL 2021]]-Tabla1[[#This Row],[REQUISICIONES MAYO 2021]]+Tabla1[[#This Row],[ENTRADAS MAYO 2021]]</f>
        <v>212</v>
      </c>
      <c r="Y28" s="40">
        <f>+Tabla1[[#This Row],[STOCK MAYO 2021]]-Tabla1[[#This Row],[REQUISICIONES JUNIO 2021]]+Tabla1[[#This Row],[ENTRADAS JUNIO 2021]]</f>
        <v>203</v>
      </c>
      <c r="Z28" s="40" t="s">
        <v>12</v>
      </c>
      <c r="AA28" s="45">
        <v>72.75</v>
      </c>
      <c r="AB28" s="35">
        <f t="shared" si="0"/>
        <v>85.844999999999999</v>
      </c>
      <c r="AC28" s="93">
        <f>Tabla1[[#This Row],[STOCK JUNIO ]]*Tabla1[[#This Row],[COSTO UNITARIO SIN ITBIS]]</f>
        <v>14768.25</v>
      </c>
    </row>
    <row r="29" spans="1:29" s="8" customFormat="1" x14ac:dyDescent="0.25">
      <c r="A29" s="261">
        <v>20</v>
      </c>
      <c r="B29" s="117">
        <v>44286</v>
      </c>
      <c r="C29" s="41" t="s">
        <v>11</v>
      </c>
      <c r="D29" s="117">
        <v>44286</v>
      </c>
      <c r="E29" s="138" t="s">
        <v>755</v>
      </c>
      <c r="F29" s="118"/>
      <c r="G29" s="40" t="s">
        <v>23</v>
      </c>
      <c r="H29" s="120"/>
      <c r="I29" s="120"/>
      <c r="J29" s="120">
        <f>+'INVENTARIO ABRIL-JUNIO 2021'!$H29-'INVENTARIO ABRIL-JUNIO 2021'!$I29</f>
        <v>0</v>
      </c>
      <c r="K29" s="120"/>
      <c r="L29" s="120">
        <f>5*12</f>
        <v>60</v>
      </c>
      <c r="M29" s="120"/>
      <c r="N29" s="120"/>
      <c r="O29" s="121"/>
      <c r="P29" s="120"/>
      <c r="Q29" s="120"/>
      <c r="R29" s="120"/>
      <c r="S29" s="120"/>
      <c r="T29" s="120"/>
      <c r="U29" s="121">
        <f>+Tabla1[[#This Row],[STOCK    FISICO ENERO 2021]]-Tabla1[[#This Row],[REQUISICIONES FEBRERO 2021]]</f>
        <v>0</v>
      </c>
      <c r="V29" s="121">
        <f>+Tabla1[[#This Row],[STOCK  FEBRERO 2021]]-Tabla1[[#This Row],[REQUISICIONES MARZO 2021]]+Tabla1[[#This Row],[ENTRADAS MARZO 2021]]</f>
        <v>60</v>
      </c>
      <c r="W29" s="121">
        <f>+Tabla1[[#This Row],[STOCK MARZO 2021]]-Tabla1[[#This Row],[REQUISICIONES ABRIL 2021]]+Tabla1[[#This Row],[ENTRADAS ABRIL 2021]]</f>
        <v>60</v>
      </c>
      <c r="X29" s="121">
        <f>+Tabla1[[#This Row],[STOCK ABRIL 2021]]-Tabla1[[#This Row],[REQUISICIONES MAYO 2021]]+Tabla1[[#This Row],[ENTRADAS MAYO 2021]]</f>
        <v>60</v>
      </c>
      <c r="Y29" s="121">
        <f>+Tabla1[[#This Row],[STOCK MAYO 2021]]-Tabla1[[#This Row],[REQUISICIONES JUNIO 2021]]+Tabla1[[#This Row],[ENTRADAS JUNIO 2021]]</f>
        <v>60</v>
      </c>
      <c r="Z29" s="40" t="s">
        <v>12</v>
      </c>
      <c r="AA29" s="122">
        <v>95</v>
      </c>
      <c r="AB29" s="93">
        <f t="shared" si="0"/>
        <v>112.1</v>
      </c>
      <c r="AC29" s="93">
        <f>Tabla1[[#This Row],[STOCK JUNIO ]]*Tabla1[[#This Row],[COSTO UNITARIO SIN ITBIS]]</f>
        <v>5700</v>
      </c>
    </row>
    <row r="30" spans="1:29" s="8" customFormat="1" x14ac:dyDescent="0.25">
      <c r="A30" s="261">
        <v>21</v>
      </c>
      <c r="B30" s="42">
        <v>43724</v>
      </c>
      <c r="C30" s="41" t="s">
        <v>11</v>
      </c>
      <c r="D30" s="42">
        <v>43724</v>
      </c>
      <c r="E30" s="139"/>
      <c r="F30" s="43">
        <v>1035</v>
      </c>
      <c r="G30" s="40" t="s">
        <v>24</v>
      </c>
      <c r="H30" s="40">
        <f>108+130</f>
        <v>238</v>
      </c>
      <c r="I30" s="40">
        <v>1</v>
      </c>
      <c r="J30" s="40">
        <f>+'INVENTARIO ABRIL-JUNIO 2021'!$H30-'INVENTARIO ABRIL-JUNIO 2021'!$I30</f>
        <v>237</v>
      </c>
      <c r="K30" s="40"/>
      <c r="L30" s="40"/>
      <c r="M30" s="40"/>
      <c r="N30" s="40"/>
      <c r="O30" s="168"/>
      <c r="P30" s="40">
        <f>3+1+2+3+2</f>
        <v>11</v>
      </c>
      <c r="Q30" s="40">
        <v>1</v>
      </c>
      <c r="R30" s="40">
        <f>1+2</f>
        <v>3</v>
      </c>
      <c r="S30" s="40">
        <v>2</v>
      </c>
      <c r="T30" s="40">
        <v>3</v>
      </c>
      <c r="U30" s="40">
        <f>+Tabla1[[#This Row],[STOCK    FISICO ENERO 2021]]-Tabla1[[#This Row],[REQUISICIONES FEBRERO 2021]]</f>
        <v>226</v>
      </c>
      <c r="V30" s="40">
        <f>+Tabla1[[#This Row],[STOCK  FEBRERO 2021]]-Tabla1[[#This Row],[REQUISICIONES MARZO 2021]]+Tabla1[[#This Row],[ENTRADAS MARZO 2021]]</f>
        <v>225</v>
      </c>
      <c r="W30" s="40">
        <f>+Tabla1[[#This Row],[STOCK MARZO 2021]]-Tabla1[[#This Row],[REQUISICIONES ABRIL 2021]]+Tabla1[[#This Row],[ENTRADAS ABRIL 2021]]</f>
        <v>222</v>
      </c>
      <c r="X30" s="40">
        <f>+Tabla1[[#This Row],[STOCK ABRIL 2021]]-Tabla1[[#This Row],[REQUISICIONES MAYO 2021]]+Tabla1[[#This Row],[ENTRADAS MAYO 2021]]</f>
        <v>220</v>
      </c>
      <c r="Y30" s="40">
        <f>+Tabla1[[#This Row],[STOCK MAYO 2021]]-Tabla1[[#This Row],[REQUISICIONES JUNIO 2021]]+Tabla1[[#This Row],[ENTRADAS JUNIO 2021]]</f>
        <v>217</v>
      </c>
      <c r="Z30" s="40" t="s">
        <v>12</v>
      </c>
      <c r="AA30" s="45">
        <v>102</v>
      </c>
      <c r="AB30" s="35">
        <f t="shared" si="0"/>
        <v>120.36</v>
      </c>
      <c r="AC30" s="93">
        <f>Tabla1[[#This Row],[STOCK JUNIO ]]*Tabla1[[#This Row],[COSTO UNITARIO SIN ITBIS]]</f>
        <v>22134</v>
      </c>
    </row>
    <row r="31" spans="1:29" s="8" customFormat="1" x14ac:dyDescent="0.25">
      <c r="A31" s="261">
        <v>22</v>
      </c>
      <c r="B31" s="117">
        <v>44286</v>
      </c>
      <c r="C31" s="41" t="s">
        <v>11</v>
      </c>
      <c r="D31" s="117">
        <v>44286</v>
      </c>
      <c r="E31" s="138" t="s">
        <v>755</v>
      </c>
      <c r="F31" s="118"/>
      <c r="G31" s="40" t="s">
        <v>24</v>
      </c>
      <c r="H31" s="120"/>
      <c r="I31" s="120"/>
      <c r="J31" s="120">
        <f>+'INVENTARIO ABRIL-JUNIO 2021'!$H31-'INVENTARIO ABRIL-JUNIO 2021'!$I31</f>
        <v>0</v>
      </c>
      <c r="K31" s="120"/>
      <c r="L31" s="120">
        <f>5*12</f>
        <v>60</v>
      </c>
      <c r="M31" s="120"/>
      <c r="N31" s="120"/>
      <c r="O31" s="121"/>
      <c r="P31" s="120"/>
      <c r="Q31" s="120"/>
      <c r="R31" s="120"/>
      <c r="S31" s="120"/>
      <c r="T31" s="120"/>
      <c r="U31" s="121">
        <f>+Tabla1[[#This Row],[STOCK    FISICO ENERO 2021]]-Tabla1[[#This Row],[REQUISICIONES FEBRERO 2021]]</f>
        <v>0</v>
      </c>
      <c r="V31" s="121">
        <f>+Tabla1[[#This Row],[STOCK  FEBRERO 2021]]-Tabla1[[#This Row],[REQUISICIONES MARZO 2021]]+Tabla1[[#This Row],[ENTRADAS MARZO 2021]]</f>
        <v>60</v>
      </c>
      <c r="W31" s="121">
        <f>+Tabla1[[#This Row],[STOCK MARZO 2021]]-Tabla1[[#This Row],[REQUISICIONES ABRIL 2021]]+Tabla1[[#This Row],[ENTRADAS ABRIL 2021]]</f>
        <v>60</v>
      </c>
      <c r="X31" s="121">
        <f>+Tabla1[[#This Row],[STOCK ABRIL 2021]]-Tabla1[[#This Row],[REQUISICIONES MAYO 2021]]+Tabla1[[#This Row],[ENTRADAS MAYO 2021]]</f>
        <v>60</v>
      </c>
      <c r="Y31" s="121">
        <f>+Tabla1[[#This Row],[STOCK MAYO 2021]]-Tabla1[[#This Row],[REQUISICIONES JUNIO 2021]]+Tabla1[[#This Row],[ENTRADAS JUNIO 2021]]</f>
        <v>60</v>
      </c>
      <c r="Z31" s="40" t="s">
        <v>12</v>
      </c>
      <c r="AA31" s="122">
        <v>105.41666666666667</v>
      </c>
      <c r="AB31" s="93">
        <f t="shared" si="0"/>
        <v>124.39166666666668</v>
      </c>
      <c r="AC31" s="93">
        <f>Tabla1[[#This Row],[STOCK JUNIO ]]*Tabla1[[#This Row],[COSTO UNITARIO SIN ITBIS]]</f>
        <v>6325</v>
      </c>
    </row>
    <row r="32" spans="1:29" s="12" customFormat="1" x14ac:dyDescent="0.25">
      <c r="A32" s="261">
        <v>23</v>
      </c>
      <c r="B32" s="31">
        <v>43724</v>
      </c>
      <c r="C32" s="28" t="s">
        <v>11</v>
      </c>
      <c r="D32" s="31">
        <v>43724</v>
      </c>
      <c r="E32" s="137"/>
      <c r="F32" s="28">
        <v>1387</v>
      </c>
      <c r="G32" s="40" t="s">
        <v>25</v>
      </c>
      <c r="H32" s="46">
        <f>84+192</f>
        <v>276</v>
      </c>
      <c r="I32" s="46"/>
      <c r="J32" s="46">
        <f>+'INVENTARIO ABRIL-JUNIO 2021'!$H32-'INVENTARIO ABRIL-JUNIO 2021'!$I32</f>
        <v>276</v>
      </c>
      <c r="K32" s="46"/>
      <c r="L32" s="46"/>
      <c r="M32" s="46"/>
      <c r="N32" s="46"/>
      <c r="O32" s="167"/>
      <c r="P32" s="46">
        <f>4+3</f>
        <v>7</v>
      </c>
      <c r="Q32" s="46">
        <f>2+2</f>
        <v>4</v>
      </c>
      <c r="R32" s="46">
        <v>3</v>
      </c>
      <c r="S32" s="46">
        <f>5+3</f>
        <v>8</v>
      </c>
      <c r="T32" s="46">
        <v>2</v>
      </c>
      <c r="U32" s="46">
        <f>+Tabla1[[#This Row],[STOCK    FISICO ENERO 2021]]-Tabla1[[#This Row],[REQUISICIONES FEBRERO 2021]]</f>
        <v>269</v>
      </c>
      <c r="V32" s="46">
        <f>+Tabla1[[#This Row],[STOCK  FEBRERO 2021]]-Tabla1[[#This Row],[REQUISICIONES MARZO 2021]]+Tabla1[[#This Row],[ENTRADAS MARZO 2021]]</f>
        <v>265</v>
      </c>
      <c r="W32" s="46">
        <f>+Tabla1[[#This Row],[STOCK MARZO 2021]]-Tabla1[[#This Row],[REQUISICIONES ABRIL 2021]]+Tabla1[[#This Row],[ENTRADAS ABRIL 2021]]</f>
        <v>262</v>
      </c>
      <c r="X32" s="46">
        <f>+Tabla1[[#This Row],[STOCK ABRIL 2021]]-Tabla1[[#This Row],[REQUISICIONES MAYO 2021]]+Tabla1[[#This Row],[ENTRADAS MAYO 2021]]</f>
        <v>254</v>
      </c>
      <c r="Y32" s="46">
        <f>+Tabla1[[#This Row],[STOCK MAYO 2021]]-Tabla1[[#This Row],[REQUISICIONES JUNIO 2021]]+Tabla1[[#This Row],[ENTRADAS JUNIO 2021]]</f>
        <v>252</v>
      </c>
      <c r="Z32" s="30" t="s">
        <v>12</v>
      </c>
      <c r="AA32" s="34">
        <v>139</v>
      </c>
      <c r="AB32" s="35">
        <f t="shared" si="0"/>
        <v>164.02</v>
      </c>
      <c r="AC32" s="93">
        <f>Tabla1[[#This Row],[STOCK JUNIO ]]*Tabla1[[#This Row],[COSTO UNITARIO SIN ITBIS]]</f>
        <v>35028</v>
      </c>
    </row>
    <row r="33" spans="1:29" s="12" customFormat="1" x14ac:dyDescent="0.25">
      <c r="A33" s="261">
        <v>24</v>
      </c>
      <c r="B33" s="117">
        <v>44286</v>
      </c>
      <c r="C33" s="28" t="s">
        <v>11</v>
      </c>
      <c r="D33" s="117">
        <v>44286</v>
      </c>
      <c r="E33" s="138" t="s">
        <v>755</v>
      </c>
      <c r="F33" s="118"/>
      <c r="G33" s="40" t="s">
        <v>25</v>
      </c>
      <c r="H33" s="126"/>
      <c r="I33" s="126"/>
      <c r="J33" s="120">
        <f>+'INVENTARIO ABRIL-JUNIO 2021'!$H33-'INVENTARIO ABRIL-JUNIO 2021'!$I33</f>
        <v>0</v>
      </c>
      <c r="K33" s="126"/>
      <c r="L33" s="126">
        <f>5*12</f>
        <v>60</v>
      </c>
      <c r="M33" s="126"/>
      <c r="N33" s="126"/>
      <c r="O33" s="121"/>
      <c r="P33" s="126"/>
      <c r="Q33" s="126"/>
      <c r="R33" s="126"/>
      <c r="S33" s="126"/>
      <c r="T33" s="126"/>
      <c r="U33" s="121">
        <f>+Tabla1[[#This Row],[STOCK    FISICO ENERO 2021]]-Tabla1[[#This Row],[REQUISICIONES FEBRERO 2021]]</f>
        <v>0</v>
      </c>
      <c r="V33" s="121">
        <f>+Tabla1[[#This Row],[STOCK  FEBRERO 2021]]-Tabla1[[#This Row],[REQUISICIONES MARZO 2021]]+Tabla1[[#This Row],[ENTRADAS MARZO 2021]]</f>
        <v>60</v>
      </c>
      <c r="W33" s="121">
        <f>+Tabla1[[#This Row],[STOCK MARZO 2021]]-Tabla1[[#This Row],[REQUISICIONES ABRIL 2021]]+Tabla1[[#This Row],[ENTRADAS ABRIL 2021]]</f>
        <v>60</v>
      </c>
      <c r="X33" s="121">
        <f>+Tabla1[[#This Row],[STOCK ABRIL 2021]]-Tabla1[[#This Row],[REQUISICIONES MAYO 2021]]+Tabla1[[#This Row],[ENTRADAS MAYO 2021]]</f>
        <v>60</v>
      </c>
      <c r="Y33" s="121">
        <f>+Tabla1[[#This Row],[STOCK MAYO 2021]]-Tabla1[[#This Row],[REQUISICIONES JUNIO 2021]]+Tabla1[[#This Row],[ENTRADAS JUNIO 2021]]</f>
        <v>60</v>
      </c>
      <c r="Z33" s="30" t="s">
        <v>12</v>
      </c>
      <c r="AA33" s="122">
        <v>145</v>
      </c>
      <c r="AB33" s="93">
        <f t="shared" si="0"/>
        <v>171.1</v>
      </c>
      <c r="AC33" s="93">
        <f>Tabla1[[#This Row],[STOCK JUNIO ]]*Tabla1[[#This Row],[COSTO UNITARIO SIN ITBIS]]</f>
        <v>8700</v>
      </c>
    </row>
    <row r="34" spans="1:29" s="8" customFormat="1" x14ac:dyDescent="0.25">
      <c r="A34" s="261">
        <v>25</v>
      </c>
      <c r="B34" s="42">
        <v>43440</v>
      </c>
      <c r="C34" s="41" t="s">
        <v>11</v>
      </c>
      <c r="D34" s="42">
        <v>43440</v>
      </c>
      <c r="E34" s="139"/>
      <c r="F34" s="43">
        <v>1034</v>
      </c>
      <c r="G34" s="220" t="s">
        <v>26</v>
      </c>
      <c r="H34" s="40">
        <v>31</v>
      </c>
      <c r="I34" s="40"/>
      <c r="J34" s="40">
        <f>+'INVENTARIO ABRIL-JUNIO 2021'!$H34-'INVENTARIO ABRIL-JUNIO 2021'!$I34</f>
        <v>31</v>
      </c>
      <c r="K34" s="40"/>
      <c r="L34" s="40"/>
      <c r="M34" s="40"/>
      <c r="N34" s="40"/>
      <c r="O34" s="168"/>
      <c r="P34" s="40">
        <f>4+2</f>
        <v>6</v>
      </c>
      <c r="Q34" s="40">
        <f>2+4+1+10+2</f>
        <v>19</v>
      </c>
      <c r="R34" s="40">
        <f>2+3</f>
        <v>5</v>
      </c>
      <c r="S34" s="40">
        <v>1</v>
      </c>
      <c r="T34" s="40"/>
      <c r="U34" s="40">
        <f>+Tabla1[[#This Row],[STOCK    FISICO ENERO 2021]]-Tabla1[[#This Row],[REQUISICIONES FEBRERO 2021]]</f>
        <v>25</v>
      </c>
      <c r="V34" s="40">
        <f>+Tabla1[[#This Row],[STOCK  FEBRERO 2021]]-Tabla1[[#This Row],[REQUISICIONES MARZO 2021]]+Tabla1[[#This Row],[ENTRADAS MARZO 2021]]</f>
        <v>6</v>
      </c>
      <c r="W34" s="40">
        <f>+Tabla1[[#This Row],[STOCK MARZO 2021]]-Tabla1[[#This Row],[REQUISICIONES ABRIL 2021]]+Tabla1[[#This Row],[ENTRADAS ABRIL 2021]]</f>
        <v>1</v>
      </c>
      <c r="X34" s="40">
        <f>+Tabla1[[#This Row],[STOCK ABRIL 2021]]-Tabla1[[#This Row],[REQUISICIONES MAYO 2021]]+Tabla1[[#This Row],[ENTRADAS MAYO 2021]]</f>
        <v>0</v>
      </c>
      <c r="Y34" s="40">
        <f>+Tabla1[[#This Row],[STOCK MAYO 2021]]-Tabla1[[#This Row],[REQUISICIONES JUNIO 2021]]+Tabla1[[#This Row],[ENTRADAS JUNIO 2021]]</f>
        <v>0</v>
      </c>
      <c r="Z34" s="40" t="s">
        <v>12</v>
      </c>
      <c r="AA34" s="45">
        <v>295</v>
      </c>
      <c r="AB34" s="35">
        <f t="shared" si="0"/>
        <v>348.1</v>
      </c>
      <c r="AC34" s="93">
        <f>Tabla1[[#This Row],[STOCK JUNIO ]]*Tabla1[[#This Row],[COSTO UNITARIO SIN ITBIS]]</f>
        <v>0</v>
      </c>
    </row>
    <row r="35" spans="1:29" s="8" customFormat="1" x14ac:dyDescent="0.25">
      <c r="A35" s="261">
        <v>26</v>
      </c>
      <c r="B35" s="117">
        <v>44286</v>
      </c>
      <c r="C35" s="41" t="s">
        <v>11</v>
      </c>
      <c r="D35" s="117">
        <v>44286</v>
      </c>
      <c r="E35" s="138" t="s">
        <v>755</v>
      </c>
      <c r="F35" s="197"/>
      <c r="G35" s="40" t="s">
        <v>26</v>
      </c>
      <c r="H35" s="120"/>
      <c r="I35" s="120"/>
      <c r="J35" s="120">
        <f>+'INVENTARIO ABRIL-JUNIO 2021'!$H35-'INVENTARIO ABRIL-JUNIO 2021'!$I35</f>
        <v>0</v>
      </c>
      <c r="K35" s="120"/>
      <c r="L35" s="120">
        <f>9*12</f>
        <v>108</v>
      </c>
      <c r="M35" s="120"/>
      <c r="N35" s="120"/>
      <c r="O35" s="121"/>
      <c r="P35" s="120"/>
      <c r="Q35" s="120"/>
      <c r="R35" s="120"/>
      <c r="S35" s="120">
        <v>4</v>
      </c>
      <c r="T35" s="120">
        <f>2+1+2</f>
        <v>5</v>
      </c>
      <c r="U35" s="121">
        <f>+Tabla1[[#This Row],[STOCK    FISICO ENERO 2021]]-Tabla1[[#This Row],[REQUISICIONES FEBRERO 2021]]</f>
        <v>0</v>
      </c>
      <c r="V35" s="121">
        <f>+Tabla1[[#This Row],[STOCK  FEBRERO 2021]]-Tabla1[[#This Row],[REQUISICIONES MARZO 2021]]+Tabla1[[#This Row],[ENTRADAS MARZO 2021]]</f>
        <v>108</v>
      </c>
      <c r="W35" s="121">
        <f>+Tabla1[[#This Row],[STOCK MARZO 2021]]-Tabla1[[#This Row],[REQUISICIONES ABRIL 2021]]+Tabla1[[#This Row],[ENTRADAS ABRIL 2021]]</f>
        <v>108</v>
      </c>
      <c r="X35" s="121">
        <f>+Tabla1[[#This Row],[STOCK ABRIL 2021]]-Tabla1[[#This Row],[REQUISICIONES MAYO 2021]]+Tabla1[[#This Row],[ENTRADAS MAYO 2021]]</f>
        <v>104</v>
      </c>
      <c r="Y35" s="121">
        <f>+Tabla1[[#This Row],[STOCK MAYO 2021]]-Tabla1[[#This Row],[REQUISICIONES JUNIO 2021]]+Tabla1[[#This Row],[ENTRADAS JUNIO 2021]]</f>
        <v>99</v>
      </c>
      <c r="Z35" s="40" t="s">
        <v>12</v>
      </c>
      <c r="AA35" s="122">
        <v>249.16666666666666</v>
      </c>
      <c r="AB35" s="93">
        <f t="shared" si="0"/>
        <v>294.01666666666665</v>
      </c>
      <c r="AC35" s="93">
        <f>Tabla1[[#This Row],[STOCK JUNIO ]]*Tabla1[[#This Row],[COSTO UNITARIO SIN ITBIS]]</f>
        <v>24667.5</v>
      </c>
    </row>
    <row r="36" spans="1:29" s="8" customFormat="1" x14ac:dyDescent="0.25">
      <c r="A36" s="261">
        <v>27</v>
      </c>
      <c r="B36" s="31">
        <v>43724</v>
      </c>
      <c r="C36" s="41" t="s">
        <v>11</v>
      </c>
      <c r="D36" s="31">
        <v>43724</v>
      </c>
      <c r="E36" s="137"/>
      <c r="F36" s="28">
        <v>1485</v>
      </c>
      <c r="G36" s="32" t="s">
        <v>27</v>
      </c>
      <c r="H36" s="33">
        <v>5</v>
      </c>
      <c r="I36" s="33"/>
      <c r="J36" s="33">
        <f>+'INVENTARIO ABRIL-JUNIO 2021'!$H36-'INVENTARIO ABRIL-JUNIO 2021'!$I36</f>
        <v>5</v>
      </c>
      <c r="K36" s="33"/>
      <c r="L36" s="33"/>
      <c r="M36" s="33"/>
      <c r="N36" s="33"/>
      <c r="O36" s="167"/>
      <c r="P36" s="33"/>
      <c r="Q36" s="33"/>
      <c r="R36" s="33">
        <f>2+2</f>
        <v>4</v>
      </c>
      <c r="S36" s="33"/>
      <c r="T36" s="33"/>
      <c r="U36" s="33">
        <f>+Tabla1[[#This Row],[STOCK    FISICO ENERO 2021]]-Tabla1[[#This Row],[REQUISICIONES FEBRERO 2021]]</f>
        <v>5</v>
      </c>
      <c r="V36" s="33">
        <f>+Tabla1[[#This Row],[STOCK  FEBRERO 2021]]-Tabla1[[#This Row],[REQUISICIONES MARZO 2021]]+Tabla1[[#This Row],[ENTRADAS MARZO 2021]]</f>
        <v>5</v>
      </c>
      <c r="W36" s="33">
        <f>+Tabla1[[#This Row],[STOCK MARZO 2021]]-Tabla1[[#This Row],[REQUISICIONES ABRIL 2021]]+Tabla1[[#This Row],[ENTRADAS ABRIL 2021]]</f>
        <v>1</v>
      </c>
      <c r="X36" s="33">
        <f>+Tabla1[[#This Row],[STOCK ABRIL 2021]]-Tabla1[[#This Row],[REQUISICIONES MAYO 2021]]+Tabla1[[#This Row],[ENTRADAS MAYO 2021]]</f>
        <v>1</v>
      </c>
      <c r="Y36" s="33">
        <f>+Tabla1[[#This Row],[STOCK MAYO 2021]]-Tabla1[[#This Row],[REQUISICIONES JUNIO 2021]]+Tabla1[[#This Row],[ENTRADAS JUNIO 2021]]</f>
        <v>1</v>
      </c>
      <c r="Z36" s="30" t="s">
        <v>28</v>
      </c>
      <c r="AA36" s="34">
        <v>1285</v>
      </c>
      <c r="AB36" s="35">
        <f t="shared" si="0"/>
        <v>1516.3</v>
      </c>
      <c r="AC36" s="93">
        <f>Tabla1[[#This Row],[STOCK JUNIO ]]*Tabla1[[#This Row],[COSTO UNITARIO SIN ITBIS]]</f>
        <v>1285</v>
      </c>
    </row>
    <row r="37" spans="1:29" s="8" customFormat="1" x14ac:dyDescent="0.25">
      <c r="A37" s="261">
        <v>28</v>
      </c>
      <c r="B37" s="117">
        <v>44312</v>
      </c>
      <c r="C37" s="41" t="s">
        <v>11</v>
      </c>
      <c r="D37" s="117">
        <v>44295</v>
      </c>
      <c r="E37" s="138" t="s">
        <v>755</v>
      </c>
      <c r="F37" s="197"/>
      <c r="G37" s="32" t="s">
        <v>27</v>
      </c>
      <c r="H37" s="120"/>
      <c r="I37" s="120"/>
      <c r="J37" s="120">
        <f>+'INVENTARIO ABRIL-JUNIO 2021'!$H37-'INVENTARIO ABRIL-JUNIO 2021'!$I37</f>
        <v>0</v>
      </c>
      <c r="K37" s="120"/>
      <c r="L37" s="120"/>
      <c r="M37" s="120">
        <v>5</v>
      </c>
      <c r="N37" s="120"/>
      <c r="O37" s="121"/>
      <c r="P37" s="120"/>
      <c r="Q37" s="120"/>
      <c r="R37" s="120"/>
      <c r="S37" s="120"/>
      <c r="T37" s="120"/>
      <c r="U37" s="121">
        <f>+Tabla1[[#This Row],[STOCK    FISICO ENERO 2021]]-Tabla1[[#This Row],[REQUISICIONES FEBRERO 2021]]</f>
        <v>0</v>
      </c>
      <c r="V37" s="121">
        <f>+Tabla1[[#This Row],[STOCK  FEBRERO 2021]]-Tabla1[[#This Row],[REQUISICIONES MARZO 2021]]+Tabla1[[#This Row],[ENTRADAS MARZO 2021]]</f>
        <v>0</v>
      </c>
      <c r="W37" s="167">
        <f>+Tabla1[[#This Row],[STOCK MARZO 2021]]-Tabla1[[#This Row],[REQUISICIONES ABRIL 2021]]+Tabla1[[#This Row],[ENTRADAS ABRIL 2021]]</f>
        <v>5</v>
      </c>
      <c r="X37" s="167">
        <f>+Tabla1[[#This Row],[STOCK ABRIL 2021]]-Tabla1[[#This Row],[REQUISICIONES MAYO 2021]]+Tabla1[[#This Row],[ENTRADAS MAYO 2021]]</f>
        <v>5</v>
      </c>
      <c r="Y37" s="167">
        <f>+Tabla1[[#This Row],[STOCK MAYO 2021]]-Tabla1[[#This Row],[REQUISICIONES JUNIO 2021]]+Tabla1[[#This Row],[ENTRADAS JUNIO 2021]]</f>
        <v>5</v>
      </c>
      <c r="Z37" s="30" t="s">
        <v>12</v>
      </c>
      <c r="AA37" s="122">
        <v>1548</v>
      </c>
      <c r="AB37" s="35">
        <f t="shared" si="0"/>
        <v>1826.6399999999999</v>
      </c>
      <c r="AC37" s="93">
        <f>Tabla1[[#This Row],[STOCK JUNIO ]]*Tabla1[[#This Row],[COSTO UNITARIO SIN ITBIS]]</f>
        <v>7740</v>
      </c>
    </row>
    <row r="38" spans="1:29" s="8" customFormat="1" x14ac:dyDescent="0.25">
      <c r="A38" s="261">
        <v>29</v>
      </c>
      <c r="B38" s="31">
        <v>43724</v>
      </c>
      <c r="C38" s="28" t="s">
        <v>11</v>
      </c>
      <c r="D38" s="31">
        <v>43724</v>
      </c>
      <c r="E38" s="137"/>
      <c r="F38" s="28">
        <v>1484</v>
      </c>
      <c r="G38" s="32" t="s">
        <v>29</v>
      </c>
      <c r="H38" s="33">
        <v>10</v>
      </c>
      <c r="I38" s="33"/>
      <c r="J38" s="33">
        <f>+'INVENTARIO ABRIL-JUNIO 2021'!$H38-'INVENTARIO ABRIL-JUNIO 2021'!$I38</f>
        <v>10</v>
      </c>
      <c r="K38" s="33"/>
      <c r="L38" s="33"/>
      <c r="M38" s="33"/>
      <c r="N38" s="33"/>
      <c r="O38" s="167"/>
      <c r="P38" s="33"/>
      <c r="Q38" s="33"/>
      <c r="R38" s="33">
        <f>2+2</f>
        <v>4</v>
      </c>
      <c r="S38" s="33"/>
      <c r="T38" s="33"/>
      <c r="U38" s="33">
        <f>+Tabla1[[#This Row],[STOCK    FISICO ENERO 2021]]-Tabla1[[#This Row],[REQUISICIONES FEBRERO 2021]]</f>
        <v>10</v>
      </c>
      <c r="V38" s="33">
        <f>+Tabla1[[#This Row],[STOCK  FEBRERO 2021]]-Tabla1[[#This Row],[REQUISICIONES MARZO 2021]]+Tabla1[[#This Row],[ENTRADAS MARZO 2021]]</f>
        <v>10</v>
      </c>
      <c r="W38" s="33">
        <f>+Tabla1[[#This Row],[STOCK MARZO 2021]]-Tabla1[[#This Row],[REQUISICIONES ABRIL 2021]]+Tabla1[[#This Row],[ENTRADAS ABRIL 2021]]</f>
        <v>6</v>
      </c>
      <c r="X38" s="33">
        <f>+Tabla1[[#This Row],[STOCK ABRIL 2021]]-Tabla1[[#This Row],[REQUISICIONES MAYO 2021]]+Tabla1[[#This Row],[ENTRADAS MAYO 2021]]</f>
        <v>6</v>
      </c>
      <c r="Y38" s="33">
        <f>+Tabla1[[#This Row],[STOCK MAYO 2021]]-Tabla1[[#This Row],[REQUISICIONES JUNIO 2021]]+Tabla1[[#This Row],[ENTRADAS JUNIO 2021]]</f>
        <v>6</v>
      </c>
      <c r="Z38" s="30" t="s">
        <v>28</v>
      </c>
      <c r="AA38" s="34">
        <v>1285</v>
      </c>
      <c r="AB38" s="35">
        <f t="shared" si="0"/>
        <v>1516.3</v>
      </c>
      <c r="AC38" s="93">
        <f>Tabla1[[#This Row],[STOCK JUNIO ]]*Tabla1[[#This Row],[COSTO UNITARIO SIN ITBIS]]</f>
        <v>7710</v>
      </c>
    </row>
    <row r="39" spans="1:29" s="8" customFormat="1" x14ac:dyDescent="0.25">
      <c r="A39" s="261">
        <v>30</v>
      </c>
      <c r="B39" s="31">
        <v>43724</v>
      </c>
      <c r="C39" s="28" t="s">
        <v>11</v>
      </c>
      <c r="D39" s="31">
        <v>43724</v>
      </c>
      <c r="E39" s="137"/>
      <c r="F39" s="28">
        <v>1486</v>
      </c>
      <c r="G39" s="32" t="s">
        <v>30</v>
      </c>
      <c r="H39" s="33">
        <v>5</v>
      </c>
      <c r="I39" s="33"/>
      <c r="J39" s="33">
        <f>+'INVENTARIO ABRIL-JUNIO 2021'!$H39-'INVENTARIO ABRIL-JUNIO 2021'!$I39</f>
        <v>5</v>
      </c>
      <c r="K39" s="33"/>
      <c r="L39" s="33"/>
      <c r="M39" s="33"/>
      <c r="N39" s="33"/>
      <c r="O39" s="167"/>
      <c r="P39" s="33"/>
      <c r="Q39" s="33"/>
      <c r="R39" s="33">
        <f>2+2</f>
        <v>4</v>
      </c>
      <c r="S39" s="33"/>
      <c r="T39" s="33"/>
      <c r="U39" s="33">
        <f>+Tabla1[[#This Row],[STOCK    FISICO ENERO 2021]]-Tabla1[[#This Row],[REQUISICIONES FEBRERO 2021]]</f>
        <v>5</v>
      </c>
      <c r="V39" s="33">
        <f>+Tabla1[[#This Row],[STOCK  FEBRERO 2021]]-Tabla1[[#This Row],[REQUISICIONES MARZO 2021]]+Tabla1[[#This Row],[ENTRADAS MARZO 2021]]</f>
        <v>5</v>
      </c>
      <c r="W39" s="33">
        <f>+Tabla1[[#This Row],[STOCK MARZO 2021]]-Tabla1[[#This Row],[REQUISICIONES ABRIL 2021]]+Tabla1[[#This Row],[ENTRADAS ABRIL 2021]]</f>
        <v>1</v>
      </c>
      <c r="X39" s="33">
        <f>+Tabla1[[#This Row],[STOCK ABRIL 2021]]-Tabla1[[#This Row],[REQUISICIONES MAYO 2021]]+Tabla1[[#This Row],[ENTRADAS MAYO 2021]]</f>
        <v>1</v>
      </c>
      <c r="Y39" s="33">
        <f>+Tabla1[[#This Row],[STOCK MAYO 2021]]-Tabla1[[#This Row],[REQUISICIONES JUNIO 2021]]+Tabla1[[#This Row],[ENTRADAS JUNIO 2021]]</f>
        <v>1</v>
      </c>
      <c r="Z39" s="30" t="s">
        <v>28</v>
      </c>
      <c r="AA39" s="34">
        <v>1285</v>
      </c>
      <c r="AB39" s="35">
        <f t="shared" si="0"/>
        <v>1516.3</v>
      </c>
      <c r="AC39" s="93">
        <f>Tabla1[[#This Row],[STOCK JUNIO ]]*Tabla1[[#This Row],[COSTO UNITARIO SIN ITBIS]]</f>
        <v>1285</v>
      </c>
    </row>
    <row r="40" spans="1:29" s="8" customFormat="1" x14ac:dyDescent="0.25">
      <c r="A40" s="261">
        <v>31</v>
      </c>
      <c r="B40" s="117">
        <v>44312</v>
      </c>
      <c r="C40" s="28" t="s">
        <v>11</v>
      </c>
      <c r="D40" s="117">
        <v>44295</v>
      </c>
      <c r="E40" s="138" t="s">
        <v>755</v>
      </c>
      <c r="F40" s="197"/>
      <c r="G40" s="32" t="s">
        <v>30</v>
      </c>
      <c r="H40" s="120"/>
      <c r="I40" s="120"/>
      <c r="J40" s="120">
        <f>+'INVENTARIO ABRIL-JUNIO 2021'!$H40-'INVENTARIO ABRIL-JUNIO 2021'!$I40</f>
        <v>0</v>
      </c>
      <c r="K40" s="120"/>
      <c r="L40" s="120"/>
      <c r="M40" s="120">
        <v>5</v>
      </c>
      <c r="N40" s="120"/>
      <c r="O40" s="121"/>
      <c r="P40" s="120"/>
      <c r="Q40" s="120"/>
      <c r="R40" s="120"/>
      <c r="S40" s="120"/>
      <c r="T40" s="120"/>
      <c r="U40" s="121">
        <f>+Tabla1[[#This Row],[STOCK    FISICO ENERO 2021]]-Tabla1[[#This Row],[REQUISICIONES FEBRERO 2021]]</f>
        <v>0</v>
      </c>
      <c r="V40" s="121">
        <f>+Tabla1[[#This Row],[STOCK  FEBRERO 2021]]-Tabla1[[#This Row],[REQUISICIONES MARZO 2021]]+Tabla1[[#This Row],[ENTRADAS MARZO 2021]]</f>
        <v>0</v>
      </c>
      <c r="W40" s="167">
        <f>+Tabla1[[#This Row],[STOCK MARZO 2021]]-Tabla1[[#This Row],[REQUISICIONES ABRIL 2021]]+Tabla1[[#This Row],[ENTRADAS ABRIL 2021]]</f>
        <v>5</v>
      </c>
      <c r="X40" s="167">
        <f>+Tabla1[[#This Row],[STOCK ABRIL 2021]]-Tabla1[[#This Row],[REQUISICIONES MAYO 2021]]+Tabla1[[#This Row],[ENTRADAS MAYO 2021]]</f>
        <v>5</v>
      </c>
      <c r="Y40" s="167">
        <f>+Tabla1[[#This Row],[STOCK MAYO 2021]]-Tabla1[[#This Row],[REQUISICIONES JUNIO 2021]]+Tabla1[[#This Row],[ENTRADAS JUNIO 2021]]</f>
        <v>5</v>
      </c>
      <c r="Z40" s="30" t="s">
        <v>12</v>
      </c>
      <c r="AA40" s="122">
        <v>1548</v>
      </c>
      <c r="AB40" s="35">
        <f t="shared" si="0"/>
        <v>1826.6399999999999</v>
      </c>
      <c r="AC40" s="93">
        <f>Tabla1[[#This Row],[STOCK JUNIO ]]*Tabla1[[#This Row],[COSTO UNITARIO SIN ITBIS]]</f>
        <v>7740</v>
      </c>
    </row>
    <row r="41" spans="1:29" s="8" customFormat="1" x14ac:dyDescent="0.25">
      <c r="A41" s="261">
        <v>32</v>
      </c>
      <c r="B41" s="31">
        <v>43724</v>
      </c>
      <c r="C41" s="28" t="s">
        <v>11</v>
      </c>
      <c r="D41" s="31">
        <v>43724</v>
      </c>
      <c r="E41" s="137"/>
      <c r="F41" s="28">
        <v>1483</v>
      </c>
      <c r="G41" s="32" t="s">
        <v>31</v>
      </c>
      <c r="H41" s="33">
        <v>5</v>
      </c>
      <c r="I41" s="33"/>
      <c r="J41" s="33">
        <f>+'INVENTARIO ABRIL-JUNIO 2021'!$H41-'INVENTARIO ABRIL-JUNIO 2021'!$I41</f>
        <v>5</v>
      </c>
      <c r="K41" s="33"/>
      <c r="L41" s="33"/>
      <c r="M41" s="33"/>
      <c r="N41" s="33"/>
      <c r="O41" s="167"/>
      <c r="P41" s="33"/>
      <c r="Q41" s="33"/>
      <c r="R41" s="33">
        <f>2+2</f>
        <v>4</v>
      </c>
      <c r="S41" s="33"/>
      <c r="T41" s="33"/>
      <c r="U41" s="33">
        <f>+Tabla1[[#This Row],[STOCK    FISICO ENERO 2021]]-Tabla1[[#This Row],[REQUISICIONES FEBRERO 2021]]</f>
        <v>5</v>
      </c>
      <c r="V41" s="33">
        <f>+Tabla1[[#This Row],[STOCK  FEBRERO 2021]]-Tabla1[[#This Row],[REQUISICIONES MARZO 2021]]+Tabla1[[#This Row],[ENTRADAS MARZO 2021]]</f>
        <v>5</v>
      </c>
      <c r="W41" s="33">
        <f>+Tabla1[[#This Row],[STOCK MARZO 2021]]-Tabla1[[#This Row],[REQUISICIONES ABRIL 2021]]+Tabla1[[#This Row],[ENTRADAS ABRIL 2021]]</f>
        <v>1</v>
      </c>
      <c r="X41" s="33">
        <f>+Tabla1[[#This Row],[STOCK ABRIL 2021]]-Tabla1[[#This Row],[REQUISICIONES MAYO 2021]]+Tabla1[[#This Row],[ENTRADAS MAYO 2021]]</f>
        <v>1</v>
      </c>
      <c r="Y41" s="33">
        <f>+Tabla1[[#This Row],[STOCK MAYO 2021]]-Tabla1[[#This Row],[REQUISICIONES JUNIO 2021]]+Tabla1[[#This Row],[ENTRADAS JUNIO 2021]]</f>
        <v>1</v>
      </c>
      <c r="Z41" s="30" t="s">
        <v>28</v>
      </c>
      <c r="AA41" s="34">
        <v>1285</v>
      </c>
      <c r="AB41" s="35">
        <f t="shared" si="0"/>
        <v>1516.3</v>
      </c>
      <c r="AC41" s="93">
        <f>Tabla1[[#This Row],[STOCK JUNIO ]]*Tabla1[[#This Row],[COSTO UNITARIO SIN ITBIS]]</f>
        <v>1285</v>
      </c>
    </row>
    <row r="42" spans="1:29" s="8" customFormat="1" x14ac:dyDescent="0.25">
      <c r="A42" s="261">
        <v>33</v>
      </c>
      <c r="B42" s="42">
        <v>43440</v>
      </c>
      <c r="C42" s="41" t="s">
        <v>11</v>
      </c>
      <c r="D42" s="42">
        <v>43440</v>
      </c>
      <c r="E42" s="139"/>
      <c r="F42" s="43">
        <v>1060</v>
      </c>
      <c r="G42" s="40" t="s">
        <v>32</v>
      </c>
      <c r="H42" s="40">
        <v>680</v>
      </c>
      <c r="I42" s="40"/>
      <c r="J42" s="40">
        <f>+'INVENTARIO ABRIL-JUNIO 2021'!$H42-'INVENTARIO ABRIL-JUNIO 2021'!$I42</f>
        <v>680</v>
      </c>
      <c r="K42" s="40"/>
      <c r="L42" s="40"/>
      <c r="M42" s="40"/>
      <c r="N42" s="40"/>
      <c r="O42" s="168"/>
      <c r="P42" s="40"/>
      <c r="Q42" s="40">
        <f>2+1</f>
        <v>3</v>
      </c>
      <c r="R42" s="40"/>
      <c r="S42" s="40">
        <f>12+10</f>
        <v>22</v>
      </c>
      <c r="T42" s="40">
        <v>10</v>
      </c>
      <c r="U42" s="40">
        <f>+Tabla1[[#This Row],[STOCK    FISICO ENERO 2021]]-Tabla1[[#This Row],[REQUISICIONES FEBRERO 2021]]</f>
        <v>680</v>
      </c>
      <c r="V42" s="40">
        <f>+Tabla1[[#This Row],[STOCK  FEBRERO 2021]]-Tabla1[[#This Row],[REQUISICIONES MARZO 2021]]+Tabla1[[#This Row],[ENTRADAS MARZO 2021]]</f>
        <v>677</v>
      </c>
      <c r="W42" s="40">
        <f>+Tabla1[[#This Row],[STOCK MARZO 2021]]-Tabla1[[#This Row],[REQUISICIONES ABRIL 2021]]+Tabla1[[#This Row],[ENTRADAS ABRIL 2021]]</f>
        <v>677</v>
      </c>
      <c r="X42" s="40">
        <f>+Tabla1[[#This Row],[STOCK ABRIL 2021]]-Tabla1[[#This Row],[REQUISICIONES MAYO 2021]]+Tabla1[[#This Row],[ENTRADAS MAYO 2021]]</f>
        <v>655</v>
      </c>
      <c r="Y42" s="40">
        <f>+Tabla1[[#This Row],[STOCK MAYO 2021]]-Tabla1[[#This Row],[REQUISICIONES JUNIO 2021]]+Tabla1[[#This Row],[ENTRADAS JUNIO 2021]]</f>
        <v>645</v>
      </c>
      <c r="Z42" s="40" t="s">
        <v>12</v>
      </c>
      <c r="AA42" s="45">
        <v>8.56</v>
      </c>
      <c r="AB42" s="35">
        <f t="shared" si="0"/>
        <v>10.1008</v>
      </c>
      <c r="AC42" s="93">
        <f>Tabla1[[#This Row],[STOCK JUNIO ]]*Tabla1[[#This Row],[COSTO UNITARIO SIN ITBIS]]</f>
        <v>5521.2000000000007</v>
      </c>
    </row>
    <row r="43" spans="1:29" s="8" customFormat="1" x14ac:dyDescent="0.25">
      <c r="A43" s="261">
        <v>34</v>
      </c>
      <c r="B43" s="42">
        <v>43671</v>
      </c>
      <c r="C43" s="41" t="s">
        <v>11</v>
      </c>
      <c r="D43" s="42">
        <v>43671</v>
      </c>
      <c r="E43" s="139"/>
      <c r="F43" s="43">
        <v>1063</v>
      </c>
      <c r="G43" s="40" t="s">
        <v>33</v>
      </c>
      <c r="H43" s="40">
        <v>76</v>
      </c>
      <c r="I43" s="40">
        <v>1</v>
      </c>
      <c r="J43" s="40">
        <f>+'INVENTARIO ABRIL-JUNIO 2021'!$H43-'INVENTARIO ABRIL-JUNIO 2021'!$I43</f>
        <v>75</v>
      </c>
      <c r="K43" s="40"/>
      <c r="L43" s="40"/>
      <c r="M43" s="40"/>
      <c r="N43" s="40"/>
      <c r="O43" s="168"/>
      <c r="P43" s="40"/>
      <c r="Q43" s="40">
        <f>1+1</f>
        <v>2</v>
      </c>
      <c r="R43" s="40">
        <f>2+2</f>
        <v>4</v>
      </c>
      <c r="S43" s="40"/>
      <c r="T43" s="40">
        <v>2</v>
      </c>
      <c r="U43" s="40">
        <f>+Tabla1[[#This Row],[STOCK    FISICO ENERO 2021]]-Tabla1[[#This Row],[REQUISICIONES FEBRERO 2021]]</f>
        <v>75</v>
      </c>
      <c r="V43" s="40">
        <f>+Tabla1[[#This Row],[STOCK  FEBRERO 2021]]-Tabla1[[#This Row],[REQUISICIONES MARZO 2021]]+Tabla1[[#This Row],[ENTRADAS MARZO 2021]]</f>
        <v>73</v>
      </c>
      <c r="W43" s="40">
        <f>+Tabla1[[#This Row],[STOCK MARZO 2021]]-Tabla1[[#This Row],[REQUISICIONES ABRIL 2021]]+Tabla1[[#This Row],[ENTRADAS ABRIL 2021]]</f>
        <v>69</v>
      </c>
      <c r="X43" s="40">
        <f>+Tabla1[[#This Row],[STOCK ABRIL 2021]]-Tabla1[[#This Row],[REQUISICIONES MAYO 2021]]+Tabla1[[#This Row],[ENTRADAS MAYO 2021]]</f>
        <v>69</v>
      </c>
      <c r="Y43" s="40">
        <f>+Tabla1[[#This Row],[STOCK MAYO 2021]]-Tabla1[[#This Row],[REQUISICIONES JUNIO 2021]]+Tabla1[[#This Row],[ENTRADAS JUNIO 2021]]</f>
        <v>67</v>
      </c>
      <c r="Z43" s="40" t="s">
        <v>34</v>
      </c>
      <c r="AA43" s="45">
        <v>49.65</v>
      </c>
      <c r="AB43" s="35">
        <f t="shared" si="0"/>
        <v>58.586999999999996</v>
      </c>
      <c r="AC43" s="93">
        <f>Tabla1[[#This Row],[STOCK JUNIO ]]*Tabla1[[#This Row],[COSTO UNITARIO SIN ITBIS]]</f>
        <v>3326.5499999999997</v>
      </c>
    </row>
    <row r="44" spans="1:29" s="8" customFormat="1" x14ac:dyDescent="0.25">
      <c r="A44" s="261">
        <v>35</v>
      </c>
      <c r="B44" s="42">
        <v>43654</v>
      </c>
      <c r="C44" s="41" t="s">
        <v>11</v>
      </c>
      <c r="D44" s="42">
        <v>43654</v>
      </c>
      <c r="E44" s="139"/>
      <c r="F44" s="43">
        <v>1065</v>
      </c>
      <c r="G44" s="40" t="s">
        <v>35</v>
      </c>
      <c r="H44" s="40">
        <v>152</v>
      </c>
      <c r="I44" s="40">
        <f>2+4</f>
        <v>6</v>
      </c>
      <c r="J44" s="40">
        <f>+'INVENTARIO ABRIL-JUNIO 2021'!$H44-'INVENTARIO ABRIL-JUNIO 2021'!$I44</f>
        <v>146</v>
      </c>
      <c r="K44" s="40"/>
      <c r="L44" s="40"/>
      <c r="M44" s="40"/>
      <c r="N44" s="40"/>
      <c r="O44" s="168"/>
      <c r="P44" s="40">
        <f>3+2+2+3+3+3+4</f>
        <v>20</v>
      </c>
      <c r="Q44" s="40">
        <f>4+2+2+6+4+2</f>
        <v>20</v>
      </c>
      <c r="R44" s="40">
        <f>1+5+10+2+2+1+6+6+2+2+2+2+2+3</f>
        <v>46</v>
      </c>
      <c r="S44" s="40">
        <f>6+6+2+1+1+2</f>
        <v>18</v>
      </c>
      <c r="T44" s="40">
        <f>4+2</f>
        <v>6</v>
      </c>
      <c r="U44" s="40">
        <f>+Tabla1[[#This Row],[STOCK    FISICO ENERO 2021]]-Tabla1[[#This Row],[REQUISICIONES FEBRERO 2021]]</f>
        <v>126</v>
      </c>
      <c r="V44" s="40">
        <f>+Tabla1[[#This Row],[STOCK  FEBRERO 2021]]-Tabla1[[#This Row],[REQUISICIONES MARZO 2021]]+Tabla1[[#This Row],[ENTRADAS MARZO 2021]]</f>
        <v>106</v>
      </c>
      <c r="W44" s="40">
        <f>+Tabla1[[#This Row],[STOCK MARZO 2021]]-Tabla1[[#This Row],[REQUISICIONES ABRIL 2021]]+Tabla1[[#This Row],[ENTRADAS ABRIL 2021]]</f>
        <v>60</v>
      </c>
      <c r="X44" s="40">
        <f>+Tabla1[[#This Row],[STOCK ABRIL 2021]]-Tabla1[[#This Row],[REQUISICIONES MAYO 2021]]+Tabla1[[#This Row],[ENTRADAS MAYO 2021]]</f>
        <v>42</v>
      </c>
      <c r="Y44" s="40">
        <f>+Tabla1[[#This Row],[STOCK MAYO 2021]]-Tabla1[[#This Row],[REQUISICIONES JUNIO 2021]]+Tabla1[[#This Row],[ENTRADAS JUNIO 2021]]</f>
        <v>36</v>
      </c>
      <c r="Z44" s="40" t="s">
        <v>12</v>
      </c>
      <c r="AA44" s="45">
        <v>11.8</v>
      </c>
      <c r="AB44" s="35">
        <f t="shared" si="0"/>
        <v>13.924000000000001</v>
      </c>
      <c r="AC44" s="93">
        <f>Tabla1[[#This Row],[STOCK JUNIO ]]*Tabla1[[#This Row],[COSTO UNITARIO SIN ITBIS]]</f>
        <v>424.8</v>
      </c>
    </row>
    <row r="45" spans="1:29" s="8" customFormat="1" x14ac:dyDescent="0.25">
      <c r="A45" s="261">
        <v>36</v>
      </c>
      <c r="B45" s="117">
        <v>44285</v>
      </c>
      <c r="C45" s="41" t="s">
        <v>11</v>
      </c>
      <c r="D45" s="117">
        <v>44285</v>
      </c>
      <c r="E45" s="138" t="s">
        <v>739</v>
      </c>
      <c r="F45" s="118"/>
      <c r="G45" s="40" t="s">
        <v>741</v>
      </c>
      <c r="H45" s="120"/>
      <c r="I45" s="120"/>
      <c r="J45" s="120">
        <f>+'INVENTARIO ABRIL-JUNIO 2021'!$H45-'INVENTARIO ABRIL-JUNIO 2021'!$I45</f>
        <v>0</v>
      </c>
      <c r="K45" s="120"/>
      <c r="L45" s="120">
        <v>10</v>
      </c>
      <c r="M45" s="120"/>
      <c r="N45" s="120"/>
      <c r="O45" s="121"/>
      <c r="P45" s="120"/>
      <c r="Q45" s="120"/>
      <c r="R45" s="120"/>
      <c r="S45" s="120"/>
      <c r="T45" s="120"/>
      <c r="U45" s="121">
        <f>+Tabla1[[#This Row],[STOCK    FISICO ENERO 2021]]-Tabla1[[#This Row],[REQUISICIONES FEBRERO 2021]]</f>
        <v>0</v>
      </c>
      <c r="V45" s="121">
        <f>+Tabla1[[#This Row],[STOCK  FEBRERO 2021]]-Tabla1[[#This Row],[REQUISICIONES MARZO 2021]]+Tabla1[[#This Row],[ENTRADAS MARZO 2021]]</f>
        <v>10</v>
      </c>
      <c r="W45" s="121">
        <f>+Tabla1[[#This Row],[STOCK MARZO 2021]]-Tabla1[[#This Row],[REQUISICIONES ABRIL 2021]]+Tabla1[[#This Row],[ENTRADAS ABRIL 2021]]</f>
        <v>10</v>
      </c>
      <c r="X45" s="121">
        <f>+Tabla1[[#This Row],[STOCK ABRIL 2021]]-Tabla1[[#This Row],[REQUISICIONES MAYO 2021]]+Tabla1[[#This Row],[ENTRADAS MAYO 2021]]</f>
        <v>10</v>
      </c>
      <c r="Y45" s="121">
        <f>+Tabla1[[#This Row],[STOCK MAYO 2021]]-Tabla1[[#This Row],[REQUISICIONES JUNIO 2021]]+Tabla1[[#This Row],[ENTRADAS JUNIO 2021]]</f>
        <v>10</v>
      </c>
      <c r="Z45" s="40" t="s">
        <v>12</v>
      </c>
      <c r="AA45" s="122">
        <v>49</v>
      </c>
      <c r="AB45" s="93">
        <f t="shared" si="0"/>
        <v>57.82</v>
      </c>
      <c r="AC45" s="93">
        <f>Tabla1[[#This Row],[STOCK JUNIO ]]*Tabla1[[#This Row],[COSTO UNITARIO SIN ITBIS]]</f>
        <v>490</v>
      </c>
    </row>
    <row r="46" spans="1:29" s="8" customFormat="1" x14ac:dyDescent="0.25">
      <c r="A46" s="261">
        <v>37</v>
      </c>
      <c r="B46" s="31">
        <v>43440</v>
      </c>
      <c r="C46" s="28" t="s">
        <v>11</v>
      </c>
      <c r="D46" s="31">
        <v>43440</v>
      </c>
      <c r="E46" s="137"/>
      <c r="F46" s="28">
        <v>1374</v>
      </c>
      <c r="G46" s="32" t="s">
        <v>36</v>
      </c>
      <c r="H46" s="46">
        <v>269</v>
      </c>
      <c r="I46" s="46">
        <v>2</v>
      </c>
      <c r="J46" s="46">
        <f>+'INVENTARIO ABRIL-JUNIO 2021'!$H46-'INVENTARIO ABRIL-JUNIO 2021'!$I46</f>
        <v>267</v>
      </c>
      <c r="K46" s="46"/>
      <c r="L46" s="46"/>
      <c r="M46" s="46"/>
      <c r="N46" s="46"/>
      <c r="O46" s="167"/>
      <c r="P46" s="46">
        <f>2+3+1+3</f>
        <v>9</v>
      </c>
      <c r="Q46" s="46">
        <f>2+1+1+1+3+4+2+3</f>
        <v>17</v>
      </c>
      <c r="R46" s="46">
        <f>3+6+6+3+2+2+2+8+1</f>
        <v>33</v>
      </c>
      <c r="S46" s="46">
        <v>3</v>
      </c>
      <c r="T46" s="46">
        <f>5+1</f>
        <v>6</v>
      </c>
      <c r="U46" s="46">
        <f>+Tabla1[[#This Row],[STOCK    FISICO ENERO 2021]]-Tabla1[[#This Row],[REQUISICIONES FEBRERO 2021]]</f>
        <v>258</v>
      </c>
      <c r="V46" s="46">
        <f>+Tabla1[[#This Row],[STOCK  FEBRERO 2021]]-Tabla1[[#This Row],[REQUISICIONES MARZO 2021]]+Tabla1[[#This Row],[ENTRADAS MARZO 2021]]</f>
        <v>241</v>
      </c>
      <c r="W46" s="46">
        <f>+Tabla1[[#This Row],[STOCK MARZO 2021]]-Tabla1[[#This Row],[REQUISICIONES ABRIL 2021]]+Tabla1[[#This Row],[ENTRADAS ABRIL 2021]]</f>
        <v>208</v>
      </c>
      <c r="X46" s="46">
        <f>+Tabla1[[#This Row],[STOCK ABRIL 2021]]-Tabla1[[#This Row],[REQUISICIONES MAYO 2021]]+Tabla1[[#This Row],[ENTRADAS MAYO 2021]]</f>
        <v>205</v>
      </c>
      <c r="Y46" s="46">
        <f>+Tabla1[[#This Row],[STOCK MAYO 2021]]-Tabla1[[#This Row],[REQUISICIONES JUNIO 2021]]+Tabla1[[#This Row],[ENTRADAS JUNIO 2021]]</f>
        <v>199</v>
      </c>
      <c r="Z46" s="30" t="s">
        <v>12</v>
      </c>
      <c r="AA46" s="34">
        <v>34.81</v>
      </c>
      <c r="AB46" s="35">
        <f t="shared" si="0"/>
        <v>41.075800000000001</v>
      </c>
      <c r="AC46" s="93">
        <f>Tabla1[[#This Row],[STOCK JUNIO ]]*Tabla1[[#This Row],[COSTO UNITARIO SIN ITBIS]]</f>
        <v>6927.1900000000005</v>
      </c>
    </row>
    <row r="47" spans="1:29" s="8" customFormat="1" x14ac:dyDescent="0.25">
      <c r="A47" s="261">
        <v>38</v>
      </c>
      <c r="B47" s="31">
        <v>43725</v>
      </c>
      <c r="C47" s="28" t="s">
        <v>11</v>
      </c>
      <c r="D47" s="31">
        <v>43725</v>
      </c>
      <c r="E47" s="137"/>
      <c r="F47" s="28">
        <v>1482</v>
      </c>
      <c r="G47" s="32" t="s">
        <v>37</v>
      </c>
      <c r="H47" s="33">
        <v>20</v>
      </c>
      <c r="I47" s="33"/>
      <c r="J47" s="33">
        <f>+'INVENTARIO ABRIL-JUNIO 2021'!$H47-'INVENTARIO ABRIL-JUNIO 2021'!$I47+5</f>
        <v>25</v>
      </c>
      <c r="K47" s="33"/>
      <c r="L47" s="33"/>
      <c r="M47" s="33"/>
      <c r="N47" s="33"/>
      <c r="O47" s="167"/>
      <c r="P47" s="33"/>
      <c r="Q47" s="33"/>
      <c r="R47" s="33"/>
      <c r="S47" s="33"/>
      <c r="T47" s="33"/>
      <c r="U47" s="33">
        <f>+Tabla1[[#This Row],[STOCK    FISICO ENERO 2021]]-Tabla1[[#This Row],[REQUISICIONES FEBRERO 2021]]</f>
        <v>25</v>
      </c>
      <c r="V47" s="33">
        <f>+Tabla1[[#This Row],[STOCK  FEBRERO 2021]]-Tabla1[[#This Row],[REQUISICIONES MARZO 2021]]+Tabla1[[#This Row],[ENTRADAS MARZO 2021]]</f>
        <v>25</v>
      </c>
      <c r="W47" s="33">
        <f>+Tabla1[[#This Row],[STOCK MARZO 2021]]-Tabla1[[#This Row],[REQUISICIONES ABRIL 2021]]+Tabla1[[#This Row],[ENTRADAS ABRIL 2021]]</f>
        <v>25</v>
      </c>
      <c r="X47" s="33">
        <f>+Tabla1[[#This Row],[STOCK ABRIL 2021]]-Tabla1[[#This Row],[REQUISICIONES MAYO 2021]]+Tabla1[[#This Row],[ENTRADAS MAYO 2021]]</f>
        <v>25</v>
      </c>
      <c r="Y47" s="33">
        <f>+Tabla1[[#This Row],[STOCK MAYO 2021]]-Tabla1[[#This Row],[REQUISICIONES JUNIO 2021]]+Tabla1[[#This Row],[ENTRADAS JUNIO 2021]]</f>
        <v>25</v>
      </c>
      <c r="Z47" s="30" t="s">
        <v>12</v>
      </c>
      <c r="AA47" s="34">
        <v>29</v>
      </c>
      <c r="AB47" s="35">
        <f t="shared" si="0"/>
        <v>34.22</v>
      </c>
      <c r="AC47" s="93">
        <f>Tabla1[[#This Row],[STOCK JUNIO ]]*Tabla1[[#This Row],[COSTO UNITARIO SIN ITBIS]]</f>
        <v>725</v>
      </c>
    </row>
    <row r="48" spans="1:29" s="8" customFormat="1" x14ac:dyDescent="0.25">
      <c r="A48" s="261">
        <v>39</v>
      </c>
      <c r="B48" s="31">
        <v>43440</v>
      </c>
      <c r="C48" s="28" t="s">
        <v>11</v>
      </c>
      <c r="D48" s="31">
        <v>43440</v>
      </c>
      <c r="E48" s="137"/>
      <c r="F48" s="28">
        <v>1398</v>
      </c>
      <c r="G48" s="32" t="s">
        <v>38</v>
      </c>
      <c r="H48" s="33">
        <v>600</v>
      </c>
      <c r="I48" s="33">
        <v>2</v>
      </c>
      <c r="J48" s="33">
        <f>+'INVENTARIO ABRIL-JUNIO 2021'!$H48-'INVENTARIO ABRIL-JUNIO 2021'!$I48</f>
        <v>598</v>
      </c>
      <c r="K48" s="33"/>
      <c r="L48" s="33"/>
      <c r="M48" s="33"/>
      <c r="N48" s="33"/>
      <c r="O48" s="167"/>
      <c r="P48" s="33">
        <f>1+1</f>
        <v>2</v>
      </c>
      <c r="Q48" s="33"/>
      <c r="R48" s="33">
        <v>24</v>
      </c>
      <c r="S48" s="33">
        <v>1</v>
      </c>
      <c r="T48" s="33">
        <v>24</v>
      </c>
      <c r="U48" s="33">
        <f>+Tabla1[[#This Row],[STOCK    FISICO ENERO 2021]]-Tabla1[[#This Row],[REQUISICIONES FEBRERO 2021]]</f>
        <v>596</v>
      </c>
      <c r="V48" s="33">
        <f>+Tabla1[[#This Row],[STOCK  FEBRERO 2021]]-Tabla1[[#This Row],[REQUISICIONES MARZO 2021]]+Tabla1[[#This Row],[ENTRADAS MARZO 2021]]</f>
        <v>596</v>
      </c>
      <c r="W48" s="33">
        <f>+Tabla1[[#This Row],[STOCK MARZO 2021]]-Tabla1[[#This Row],[REQUISICIONES ABRIL 2021]]+Tabla1[[#This Row],[ENTRADAS ABRIL 2021]]</f>
        <v>572</v>
      </c>
      <c r="X48" s="33">
        <f>+Tabla1[[#This Row],[STOCK ABRIL 2021]]-Tabla1[[#This Row],[REQUISICIONES MAYO 2021]]+Tabla1[[#This Row],[ENTRADAS MAYO 2021]]</f>
        <v>571</v>
      </c>
      <c r="Y48" s="33">
        <f>+Tabla1[[#This Row],[STOCK MAYO 2021]]-Tabla1[[#This Row],[REQUISICIONES JUNIO 2021]]+Tabla1[[#This Row],[ENTRADAS JUNIO 2021]]</f>
        <v>547</v>
      </c>
      <c r="Z48" s="30" t="s">
        <v>12</v>
      </c>
      <c r="AA48" s="34">
        <v>1.93</v>
      </c>
      <c r="AB48" s="35">
        <f t="shared" si="0"/>
        <v>2.2774000000000001</v>
      </c>
      <c r="AC48" s="93">
        <f>Tabla1[[#This Row],[STOCK JUNIO ]]*Tabla1[[#This Row],[COSTO UNITARIO SIN ITBIS]]</f>
        <v>1055.71</v>
      </c>
    </row>
    <row r="49" spans="1:29" s="8" customFormat="1" x14ac:dyDescent="0.25">
      <c r="A49" s="261">
        <v>40</v>
      </c>
      <c r="B49" s="31">
        <v>43440</v>
      </c>
      <c r="C49" s="28" t="s">
        <v>11</v>
      </c>
      <c r="D49" s="31">
        <v>43440</v>
      </c>
      <c r="E49" s="137"/>
      <c r="F49" s="28">
        <v>1397</v>
      </c>
      <c r="G49" s="32" t="s">
        <v>39</v>
      </c>
      <c r="H49" s="33">
        <v>960</v>
      </c>
      <c r="I49" s="33">
        <v>2</v>
      </c>
      <c r="J49" s="33">
        <f>+'INVENTARIO ABRIL-JUNIO 2021'!$H49-'INVENTARIO ABRIL-JUNIO 2021'!$I49</f>
        <v>958</v>
      </c>
      <c r="K49" s="33"/>
      <c r="L49" s="33"/>
      <c r="M49" s="33"/>
      <c r="N49" s="33"/>
      <c r="O49" s="167"/>
      <c r="P49" s="33">
        <f>1+2+2</f>
        <v>5</v>
      </c>
      <c r="Q49" s="33">
        <f>6+1</f>
        <v>7</v>
      </c>
      <c r="R49" s="33">
        <v>24</v>
      </c>
      <c r="S49" s="33">
        <v>48</v>
      </c>
      <c r="T49" s="33">
        <f>12+12</f>
        <v>24</v>
      </c>
      <c r="U49" s="33">
        <f>+Tabla1[[#This Row],[STOCK    FISICO ENERO 2021]]-Tabla1[[#This Row],[REQUISICIONES FEBRERO 2021]]</f>
        <v>953</v>
      </c>
      <c r="V49" s="33">
        <f>+Tabla1[[#This Row],[STOCK  FEBRERO 2021]]-Tabla1[[#This Row],[REQUISICIONES MARZO 2021]]+Tabla1[[#This Row],[ENTRADAS MARZO 2021]]</f>
        <v>946</v>
      </c>
      <c r="W49" s="33">
        <f>+Tabla1[[#This Row],[STOCK MARZO 2021]]-Tabla1[[#This Row],[REQUISICIONES ABRIL 2021]]+Tabla1[[#This Row],[ENTRADAS ABRIL 2021]]</f>
        <v>922</v>
      </c>
      <c r="X49" s="33">
        <f>+Tabla1[[#This Row],[STOCK ABRIL 2021]]-Tabla1[[#This Row],[REQUISICIONES MAYO 2021]]+Tabla1[[#This Row],[ENTRADAS MAYO 2021]]</f>
        <v>874</v>
      </c>
      <c r="Y49" s="33">
        <f>+Tabla1[[#This Row],[STOCK MAYO 2021]]-Tabla1[[#This Row],[REQUISICIONES JUNIO 2021]]+Tabla1[[#This Row],[ENTRADAS JUNIO 2021]]</f>
        <v>850</v>
      </c>
      <c r="Z49" s="30" t="s">
        <v>12</v>
      </c>
      <c r="AA49" s="34">
        <v>12.9</v>
      </c>
      <c r="AB49" s="35">
        <f t="shared" si="0"/>
        <v>15.222000000000001</v>
      </c>
      <c r="AC49" s="93">
        <f>Tabla1[[#This Row],[STOCK JUNIO ]]*Tabla1[[#This Row],[COSTO UNITARIO SIN ITBIS]]</f>
        <v>10965</v>
      </c>
    </row>
    <row r="50" spans="1:29" s="8" customFormat="1" x14ac:dyDescent="0.25">
      <c r="A50" s="261">
        <v>41</v>
      </c>
      <c r="B50" s="31">
        <v>43671</v>
      </c>
      <c r="C50" s="28" t="s">
        <v>11</v>
      </c>
      <c r="D50" s="31">
        <v>43671</v>
      </c>
      <c r="E50" s="137"/>
      <c r="F50" s="28">
        <v>1396</v>
      </c>
      <c r="G50" s="32" t="s">
        <v>40</v>
      </c>
      <c r="H50" s="33">
        <v>432</v>
      </c>
      <c r="I50" s="33">
        <v>2</v>
      </c>
      <c r="J50" s="33">
        <f>+'INVENTARIO ABRIL-JUNIO 2021'!$H50-'INVENTARIO ABRIL-JUNIO 2021'!$I50</f>
        <v>430</v>
      </c>
      <c r="K50" s="33"/>
      <c r="L50" s="33"/>
      <c r="M50" s="33"/>
      <c r="N50" s="33"/>
      <c r="O50" s="167"/>
      <c r="P50" s="33">
        <f>5+2</f>
        <v>7</v>
      </c>
      <c r="Q50" s="33">
        <v>1</v>
      </c>
      <c r="R50" s="33">
        <f>36+12+12+60+24</f>
        <v>144</v>
      </c>
      <c r="S50" s="33">
        <v>12</v>
      </c>
      <c r="T50" s="33">
        <v>96</v>
      </c>
      <c r="U50" s="33">
        <f>+Tabla1[[#This Row],[STOCK    FISICO ENERO 2021]]-Tabla1[[#This Row],[REQUISICIONES FEBRERO 2021]]</f>
        <v>423</v>
      </c>
      <c r="V50" s="33">
        <f>+Tabla1[[#This Row],[STOCK  FEBRERO 2021]]-Tabla1[[#This Row],[REQUISICIONES MARZO 2021]]+Tabla1[[#This Row],[ENTRADAS MARZO 2021]]</f>
        <v>422</v>
      </c>
      <c r="W50" s="33">
        <f>+Tabla1[[#This Row],[STOCK MARZO 2021]]-Tabla1[[#This Row],[REQUISICIONES ABRIL 2021]]+Tabla1[[#This Row],[ENTRADAS ABRIL 2021]]</f>
        <v>278</v>
      </c>
      <c r="X50" s="33">
        <f>+Tabla1[[#This Row],[STOCK ABRIL 2021]]-Tabla1[[#This Row],[REQUISICIONES MAYO 2021]]+Tabla1[[#This Row],[ENTRADAS MAYO 2021]]</f>
        <v>266</v>
      </c>
      <c r="Y50" s="33">
        <f>+Tabla1[[#This Row],[STOCK MAYO 2021]]-Tabla1[[#This Row],[REQUISICIONES JUNIO 2021]]+Tabla1[[#This Row],[ENTRADAS JUNIO 2021]]</f>
        <v>170</v>
      </c>
      <c r="Z50" s="30" t="s">
        <v>12</v>
      </c>
      <c r="AA50" s="34">
        <v>2.29</v>
      </c>
      <c r="AB50" s="35">
        <f t="shared" si="0"/>
        <v>2.7021999999999999</v>
      </c>
      <c r="AC50" s="93">
        <f>Tabla1[[#This Row],[STOCK JUNIO ]]*Tabla1[[#This Row],[COSTO UNITARIO SIN ITBIS]]</f>
        <v>389.3</v>
      </c>
    </row>
    <row r="51" spans="1:29" s="8" customFormat="1" x14ac:dyDescent="0.25">
      <c r="A51" s="261">
        <v>42</v>
      </c>
      <c r="B51" s="31">
        <v>43440</v>
      </c>
      <c r="C51" s="28" t="s">
        <v>11</v>
      </c>
      <c r="D51" s="31">
        <v>43440</v>
      </c>
      <c r="E51" s="137"/>
      <c r="F51" s="28">
        <v>1395</v>
      </c>
      <c r="G51" s="32" t="s">
        <v>41</v>
      </c>
      <c r="H51" s="33">
        <v>840</v>
      </c>
      <c r="I51" s="33"/>
      <c r="J51" s="33">
        <f>+'INVENTARIO ABRIL-JUNIO 2021'!$H51-'INVENTARIO ABRIL-JUNIO 2021'!$I51</f>
        <v>840</v>
      </c>
      <c r="K51" s="33"/>
      <c r="L51" s="33"/>
      <c r="M51" s="33"/>
      <c r="N51" s="33"/>
      <c r="O51" s="167"/>
      <c r="P51" s="33"/>
      <c r="Q51" s="33"/>
      <c r="R51" s="33"/>
      <c r="S51" s="33">
        <v>1</v>
      </c>
      <c r="T51" s="33"/>
      <c r="U51" s="33">
        <f>+Tabla1[[#This Row],[STOCK    FISICO ENERO 2021]]-Tabla1[[#This Row],[REQUISICIONES FEBRERO 2021]]</f>
        <v>840</v>
      </c>
      <c r="V51" s="33">
        <f>+Tabla1[[#This Row],[STOCK  FEBRERO 2021]]-Tabla1[[#This Row],[REQUISICIONES MARZO 2021]]+Tabla1[[#This Row],[ENTRADAS MARZO 2021]]</f>
        <v>840</v>
      </c>
      <c r="W51" s="33">
        <f>+Tabla1[[#This Row],[STOCK MARZO 2021]]-Tabla1[[#This Row],[REQUISICIONES ABRIL 2021]]+Tabla1[[#This Row],[ENTRADAS ABRIL 2021]]</f>
        <v>840</v>
      </c>
      <c r="X51" s="33">
        <f>+Tabla1[[#This Row],[STOCK ABRIL 2021]]-Tabla1[[#This Row],[REQUISICIONES MAYO 2021]]+Tabla1[[#This Row],[ENTRADAS MAYO 2021]]</f>
        <v>839</v>
      </c>
      <c r="Y51" s="33">
        <f>+Tabla1[[#This Row],[STOCK MAYO 2021]]-Tabla1[[#This Row],[REQUISICIONES JUNIO 2021]]+Tabla1[[#This Row],[ENTRADAS JUNIO 2021]]</f>
        <v>839</v>
      </c>
      <c r="Z51" s="30" t="s">
        <v>12</v>
      </c>
      <c r="AA51" s="34">
        <v>44</v>
      </c>
      <c r="AB51" s="35">
        <f t="shared" si="0"/>
        <v>51.92</v>
      </c>
      <c r="AC51" s="93">
        <f>Tabla1[[#This Row],[STOCK JUNIO ]]*Tabla1[[#This Row],[COSTO UNITARIO SIN ITBIS]]</f>
        <v>36916</v>
      </c>
    </row>
    <row r="52" spans="1:29" s="8" customFormat="1" x14ac:dyDescent="0.25">
      <c r="A52" s="261">
        <v>43</v>
      </c>
      <c r="B52" s="31">
        <v>43440</v>
      </c>
      <c r="C52" s="28" t="s">
        <v>11</v>
      </c>
      <c r="D52" s="31">
        <v>43440</v>
      </c>
      <c r="E52" s="137"/>
      <c r="F52" s="28">
        <v>1394</v>
      </c>
      <c r="G52" s="32" t="s">
        <v>42</v>
      </c>
      <c r="H52" s="33">
        <v>480</v>
      </c>
      <c r="I52" s="33"/>
      <c r="J52" s="33">
        <f>+'INVENTARIO ABRIL-JUNIO 2021'!$H52-'INVENTARIO ABRIL-JUNIO 2021'!$I52</f>
        <v>480</v>
      </c>
      <c r="K52" s="33"/>
      <c r="L52" s="33"/>
      <c r="M52" s="33"/>
      <c r="N52" s="33"/>
      <c r="O52" s="167"/>
      <c r="P52" s="33">
        <f>2+2</f>
        <v>4</v>
      </c>
      <c r="Q52" s="33">
        <v>6</v>
      </c>
      <c r="R52" s="33">
        <f>24+24</f>
        <v>48</v>
      </c>
      <c r="S52" s="33">
        <v>12</v>
      </c>
      <c r="T52" s="33">
        <v>12</v>
      </c>
      <c r="U52" s="33">
        <f>+Tabla1[[#This Row],[STOCK    FISICO ENERO 2021]]-Tabla1[[#This Row],[REQUISICIONES FEBRERO 2021]]</f>
        <v>476</v>
      </c>
      <c r="V52" s="33">
        <f>+Tabla1[[#This Row],[STOCK  FEBRERO 2021]]-Tabla1[[#This Row],[REQUISICIONES MARZO 2021]]+Tabla1[[#This Row],[ENTRADAS MARZO 2021]]</f>
        <v>470</v>
      </c>
      <c r="W52" s="33">
        <f>+Tabla1[[#This Row],[STOCK MARZO 2021]]-Tabla1[[#This Row],[REQUISICIONES ABRIL 2021]]+Tabla1[[#This Row],[ENTRADAS ABRIL 2021]]</f>
        <v>422</v>
      </c>
      <c r="X52" s="33">
        <f>+Tabla1[[#This Row],[STOCK ABRIL 2021]]-Tabla1[[#This Row],[REQUISICIONES MAYO 2021]]+Tabla1[[#This Row],[ENTRADAS MAYO 2021]]</f>
        <v>410</v>
      </c>
      <c r="Y52" s="33">
        <f>+Tabla1[[#This Row],[STOCK MAYO 2021]]-Tabla1[[#This Row],[REQUISICIONES JUNIO 2021]]+Tabla1[[#This Row],[ENTRADAS JUNIO 2021]]</f>
        <v>398</v>
      </c>
      <c r="Z52" s="30" t="s">
        <v>12</v>
      </c>
      <c r="AA52" s="34">
        <v>5.95</v>
      </c>
      <c r="AB52" s="35">
        <f t="shared" si="0"/>
        <v>7.0209999999999999</v>
      </c>
      <c r="AC52" s="93">
        <f>Tabla1[[#This Row],[STOCK JUNIO ]]*Tabla1[[#This Row],[COSTO UNITARIO SIN ITBIS]]</f>
        <v>2368.1</v>
      </c>
    </row>
    <row r="53" spans="1:29" s="8" customFormat="1" x14ac:dyDescent="0.25">
      <c r="A53" s="261">
        <v>44</v>
      </c>
      <c r="B53" s="31">
        <v>43440</v>
      </c>
      <c r="C53" s="28" t="s">
        <v>11</v>
      </c>
      <c r="D53" s="31">
        <v>43440</v>
      </c>
      <c r="E53" s="137"/>
      <c r="F53" s="28">
        <v>1393</v>
      </c>
      <c r="G53" s="32" t="s">
        <v>43</v>
      </c>
      <c r="H53" s="33">
        <v>588</v>
      </c>
      <c r="I53" s="33"/>
      <c r="J53" s="33">
        <f>+'INVENTARIO ABRIL-JUNIO 2021'!$H53-'INVENTARIO ABRIL-JUNIO 2021'!$I53</f>
        <v>588</v>
      </c>
      <c r="K53" s="33"/>
      <c r="L53" s="33"/>
      <c r="M53" s="33"/>
      <c r="N53" s="33"/>
      <c r="O53" s="167"/>
      <c r="P53" s="33">
        <v>1</v>
      </c>
      <c r="Q53" s="33">
        <v>1</v>
      </c>
      <c r="R53" s="33"/>
      <c r="S53" s="33">
        <f>12+2</f>
        <v>14</v>
      </c>
      <c r="T53" s="33">
        <v>24</v>
      </c>
      <c r="U53" s="33">
        <f>+Tabla1[[#This Row],[STOCK    FISICO ENERO 2021]]-Tabla1[[#This Row],[REQUISICIONES FEBRERO 2021]]</f>
        <v>587</v>
      </c>
      <c r="V53" s="33">
        <f>+Tabla1[[#This Row],[STOCK  FEBRERO 2021]]-Tabla1[[#This Row],[REQUISICIONES MARZO 2021]]+Tabla1[[#This Row],[ENTRADAS MARZO 2021]]</f>
        <v>586</v>
      </c>
      <c r="W53" s="33">
        <f>+Tabla1[[#This Row],[STOCK MARZO 2021]]-Tabla1[[#This Row],[REQUISICIONES ABRIL 2021]]+Tabla1[[#This Row],[ENTRADAS ABRIL 2021]]</f>
        <v>586</v>
      </c>
      <c r="X53" s="33">
        <f>+Tabla1[[#This Row],[STOCK ABRIL 2021]]-Tabla1[[#This Row],[REQUISICIONES MAYO 2021]]+Tabla1[[#This Row],[ENTRADAS MAYO 2021]]</f>
        <v>572</v>
      </c>
      <c r="Y53" s="33">
        <f>+Tabla1[[#This Row],[STOCK MAYO 2021]]-Tabla1[[#This Row],[REQUISICIONES JUNIO 2021]]+Tabla1[[#This Row],[ENTRADAS JUNIO 2021]]</f>
        <v>548</v>
      </c>
      <c r="Z53" s="30" t="s">
        <v>12</v>
      </c>
      <c r="AA53" s="34">
        <v>8.5</v>
      </c>
      <c r="AB53" s="35">
        <f t="shared" si="0"/>
        <v>10.029999999999999</v>
      </c>
      <c r="AC53" s="93">
        <f>Tabla1[[#This Row],[STOCK JUNIO ]]*Tabla1[[#This Row],[COSTO UNITARIO SIN ITBIS]]</f>
        <v>4658</v>
      </c>
    </row>
    <row r="54" spans="1:29" s="8" customFormat="1" x14ac:dyDescent="0.25">
      <c r="A54" s="261">
        <v>45</v>
      </c>
      <c r="B54" s="31">
        <v>43440</v>
      </c>
      <c r="C54" s="28" t="s">
        <v>11</v>
      </c>
      <c r="D54" s="31">
        <v>43440</v>
      </c>
      <c r="E54" s="137"/>
      <c r="F54" s="28">
        <v>1375</v>
      </c>
      <c r="G54" s="32" t="s">
        <v>44</v>
      </c>
      <c r="H54" s="46">
        <v>310</v>
      </c>
      <c r="I54" s="46">
        <f>2+2+3+1+2+2</f>
        <v>12</v>
      </c>
      <c r="J54" s="46">
        <f>+'INVENTARIO ABRIL-JUNIO 2021'!$H54-'INVENTARIO ABRIL-JUNIO 2021'!$I54</f>
        <v>298</v>
      </c>
      <c r="K54" s="46"/>
      <c r="L54" s="46"/>
      <c r="M54" s="46"/>
      <c r="N54" s="46"/>
      <c r="O54" s="167"/>
      <c r="P54" s="46">
        <f>1+5+2+1+2+1+1+1+3</f>
        <v>17</v>
      </c>
      <c r="Q54" s="46">
        <f>1+4+2+4+1+3+3+4+3+3+4+1+1+3+30+4+2</f>
        <v>73</v>
      </c>
      <c r="R54" s="46">
        <f>2+3+6+2+2+2+4+3+1+3+1+2+4+4+2</f>
        <v>41</v>
      </c>
      <c r="S54" s="46">
        <f>1+3+5+1+1+1+2+2+3+1+6+2+3</f>
        <v>31</v>
      </c>
      <c r="T54" s="46">
        <f>3+5+2+3+1+2+1+1+1+3+1+3+2+3</f>
        <v>31</v>
      </c>
      <c r="U54" s="46">
        <f>+Tabla1[[#This Row],[STOCK    FISICO ENERO 2021]]-Tabla1[[#This Row],[REQUISICIONES FEBRERO 2021]]</f>
        <v>281</v>
      </c>
      <c r="V54" s="46">
        <f>+Tabla1[[#This Row],[STOCK  FEBRERO 2021]]-Tabla1[[#This Row],[REQUISICIONES MARZO 2021]]+Tabla1[[#This Row],[ENTRADAS MARZO 2021]]</f>
        <v>208</v>
      </c>
      <c r="W54" s="46">
        <f>+Tabla1[[#This Row],[STOCK MARZO 2021]]-Tabla1[[#This Row],[REQUISICIONES ABRIL 2021]]+Tabla1[[#This Row],[ENTRADAS ABRIL 2021]]</f>
        <v>167</v>
      </c>
      <c r="X54" s="46">
        <f>+Tabla1[[#This Row],[STOCK ABRIL 2021]]-Tabla1[[#This Row],[REQUISICIONES MAYO 2021]]+Tabla1[[#This Row],[ENTRADAS MAYO 2021]]</f>
        <v>136</v>
      </c>
      <c r="Y54" s="46">
        <f>+Tabla1[[#This Row],[STOCK MAYO 2021]]-Tabla1[[#This Row],[REQUISICIONES JUNIO 2021]]+Tabla1[[#This Row],[ENTRADAS JUNIO 2021]]</f>
        <v>105</v>
      </c>
      <c r="Z54" s="30" t="s">
        <v>34</v>
      </c>
      <c r="AA54" s="34">
        <v>8.94</v>
      </c>
      <c r="AB54" s="35">
        <f t="shared" si="0"/>
        <v>10.549199999999999</v>
      </c>
      <c r="AC54" s="93">
        <f>Tabla1[[#This Row],[STOCK JUNIO ]]*Tabla1[[#This Row],[COSTO UNITARIO SIN ITBIS]]</f>
        <v>938.69999999999993</v>
      </c>
    </row>
    <row r="55" spans="1:29" s="8" customFormat="1" x14ac:dyDescent="0.25">
      <c r="A55" s="261">
        <v>46</v>
      </c>
      <c r="B55" s="117">
        <v>44286</v>
      </c>
      <c r="C55" s="28" t="s">
        <v>11</v>
      </c>
      <c r="D55" s="117">
        <v>44286</v>
      </c>
      <c r="E55" s="138" t="s">
        <v>767</v>
      </c>
      <c r="F55" s="118"/>
      <c r="G55" s="32" t="s">
        <v>766</v>
      </c>
      <c r="H55" s="126"/>
      <c r="I55" s="126"/>
      <c r="J55" s="120">
        <f>+'INVENTARIO ABRIL-JUNIO 2021'!$H55-'INVENTARIO ABRIL-JUNIO 2021'!$I55</f>
        <v>0</v>
      </c>
      <c r="K55" s="126"/>
      <c r="L55" s="126">
        <v>50</v>
      </c>
      <c r="M55" s="126"/>
      <c r="N55" s="126"/>
      <c r="O55" s="121"/>
      <c r="P55" s="126"/>
      <c r="Q55" s="126"/>
      <c r="R55" s="126"/>
      <c r="S55" s="126"/>
      <c r="T55" s="126"/>
      <c r="U55" s="121">
        <f>+Tabla1[[#This Row],[STOCK    FISICO ENERO 2021]]-Tabla1[[#This Row],[REQUISICIONES FEBRERO 2021]]</f>
        <v>0</v>
      </c>
      <c r="V55" s="121">
        <f>+Tabla1[[#This Row],[STOCK  FEBRERO 2021]]-Tabla1[[#This Row],[REQUISICIONES MARZO 2021]]+Tabla1[[#This Row],[ENTRADAS MARZO 2021]]</f>
        <v>50</v>
      </c>
      <c r="W55" s="121">
        <f>+Tabla1[[#This Row],[STOCK MARZO 2021]]-Tabla1[[#This Row],[REQUISICIONES ABRIL 2021]]+Tabla1[[#This Row],[ENTRADAS ABRIL 2021]]</f>
        <v>50</v>
      </c>
      <c r="X55" s="121">
        <f>+Tabla1[[#This Row],[STOCK ABRIL 2021]]-Tabla1[[#This Row],[REQUISICIONES MAYO 2021]]+Tabla1[[#This Row],[ENTRADAS MAYO 2021]]</f>
        <v>50</v>
      </c>
      <c r="Y55" s="121">
        <f>+Tabla1[[#This Row],[STOCK MAYO 2021]]-Tabla1[[#This Row],[REQUISICIONES JUNIO 2021]]+Tabla1[[#This Row],[ENTRADAS JUNIO 2021]]</f>
        <v>50</v>
      </c>
      <c r="Z55" s="30" t="s">
        <v>34</v>
      </c>
      <c r="AA55" s="122">
        <v>15</v>
      </c>
      <c r="AB55" s="93">
        <f t="shared" si="0"/>
        <v>17.7</v>
      </c>
      <c r="AC55" s="93">
        <f>Tabla1[[#This Row],[STOCK JUNIO ]]*Tabla1[[#This Row],[COSTO UNITARIO SIN ITBIS]]</f>
        <v>750</v>
      </c>
    </row>
    <row r="56" spans="1:29" s="8" customFormat="1" x14ac:dyDescent="0.25">
      <c r="A56" s="261">
        <v>47</v>
      </c>
      <c r="B56" s="31">
        <v>43671</v>
      </c>
      <c r="C56" s="28" t="s">
        <v>11</v>
      </c>
      <c r="D56" s="31">
        <v>43671</v>
      </c>
      <c r="E56" s="137"/>
      <c r="F56" s="28">
        <v>1376</v>
      </c>
      <c r="G56" s="32" t="s">
        <v>45</v>
      </c>
      <c r="H56" s="46">
        <v>128</v>
      </c>
      <c r="I56" s="46">
        <f>2+2+3+2</f>
        <v>9</v>
      </c>
      <c r="J56" s="46">
        <f>+'INVENTARIO ABRIL-JUNIO 2021'!$H56-'INVENTARIO ABRIL-JUNIO 2021'!$I56</f>
        <v>119</v>
      </c>
      <c r="K56" s="46"/>
      <c r="L56" s="46"/>
      <c r="M56" s="46"/>
      <c r="N56" s="46"/>
      <c r="O56" s="167"/>
      <c r="P56" s="46">
        <f>1+1+2+2+3+1</f>
        <v>10</v>
      </c>
      <c r="Q56" s="46">
        <f>2+1+3+2+2+3+4+1+1+3+30+2</f>
        <v>54</v>
      </c>
      <c r="R56" s="46">
        <f>6+2+4+3+3+2+4</f>
        <v>24</v>
      </c>
      <c r="S56" s="46">
        <f>1+5+1+2+1+1+2+1+6+2+3</f>
        <v>25</v>
      </c>
      <c r="T56" s="46">
        <f>1+3+1+1</f>
        <v>6</v>
      </c>
      <c r="U56" s="46">
        <f>+Tabla1[[#This Row],[STOCK    FISICO ENERO 2021]]-Tabla1[[#This Row],[REQUISICIONES FEBRERO 2021]]</f>
        <v>109</v>
      </c>
      <c r="V56" s="46">
        <f>+Tabla1[[#This Row],[STOCK  FEBRERO 2021]]-Tabla1[[#This Row],[REQUISICIONES MARZO 2021]]+Tabla1[[#This Row],[ENTRADAS MARZO 2021]]</f>
        <v>55</v>
      </c>
      <c r="W56" s="46">
        <f>+Tabla1[[#This Row],[STOCK MARZO 2021]]-Tabla1[[#This Row],[REQUISICIONES ABRIL 2021]]+Tabla1[[#This Row],[ENTRADAS ABRIL 2021]]</f>
        <v>31</v>
      </c>
      <c r="X56" s="46">
        <f>+Tabla1[[#This Row],[STOCK ABRIL 2021]]-Tabla1[[#This Row],[REQUISICIONES MAYO 2021]]+Tabla1[[#This Row],[ENTRADAS MAYO 2021]]</f>
        <v>6</v>
      </c>
      <c r="Y56" s="46">
        <f>+Tabla1[[#This Row],[STOCK MAYO 2021]]-Tabla1[[#This Row],[REQUISICIONES JUNIO 2021]]+Tabla1[[#This Row],[ENTRADAS JUNIO 2021]]</f>
        <v>0</v>
      </c>
      <c r="Z56" s="30" t="s">
        <v>34</v>
      </c>
      <c r="AA56" s="34">
        <v>27.61</v>
      </c>
      <c r="AB56" s="35">
        <f t="shared" si="0"/>
        <v>32.579799999999999</v>
      </c>
      <c r="AC56" s="93">
        <f>Tabla1[[#This Row],[STOCK JUNIO ]]*Tabla1[[#This Row],[COSTO UNITARIO SIN ITBIS]]</f>
        <v>0</v>
      </c>
    </row>
    <row r="57" spans="1:29" s="8" customFormat="1" x14ac:dyDescent="0.25">
      <c r="A57" s="261">
        <v>48</v>
      </c>
      <c r="B57" s="117">
        <v>44286</v>
      </c>
      <c r="C57" s="28" t="s">
        <v>11</v>
      </c>
      <c r="D57" s="117">
        <v>44286</v>
      </c>
      <c r="E57" s="138" t="s">
        <v>767</v>
      </c>
      <c r="F57" s="118"/>
      <c r="G57" s="32" t="s">
        <v>768</v>
      </c>
      <c r="H57" s="126"/>
      <c r="I57" s="126"/>
      <c r="J57" s="120">
        <f>+'INVENTARIO ABRIL-JUNIO 2021'!$H57-'INVENTARIO ABRIL-JUNIO 2021'!$I57</f>
        <v>0</v>
      </c>
      <c r="K57" s="126"/>
      <c r="L57" s="126">
        <v>50</v>
      </c>
      <c r="M57" s="126"/>
      <c r="N57" s="126"/>
      <c r="O57" s="121"/>
      <c r="P57" s="126"/>
      <c r="Q57" s="126"/>
      <c r="R57" s="126"/>
      <c r="S57" s="126"/>
      <c r="T57" s="126">
        <f>2+1</f>
        <v>3</v>
      </c>
      <c r="U57" s="121">
        <f>+Tabla1[[#This Row],[STOCK    FISICO ENERO 2021]]-Tabla1[[#This Row],[REQUISICIONES FEBRERO 2021]]</f>
        <v>0</v>
      </c>
      <c r="V57" s="121">
        <f>+Tabla1[[#This Row],[STOCK  FEBRERO 2021]]-Tabla1[[#This Row],[REQUISICIONES MARZO 2021]]+Tabla1[[#This Row],[ENTRADAS MARZO 2021]]</f>
        <v>50</v>
      </c>
      <c r="W57" s="121">
        <f>+Tabla1[[#This Row],[STOCK MARZO 2021]]-Tabla1[[#This Row],[REQUISICIONES ABRIL 2021]]+Tabla1[[#This Row],[ENTRADAS ABRIL 2021]]</f>
        <v>50</v>
      </c>
      <c r="X57" s="121">
        <f>+Tabla1[[#This Row],[STOCK ABRIL 2021]]-Tabla1[[#This Row],[REQUISICIONES MAYO 2021]]+Tabla1[[#This Row],[ENTRADAS MAYO 2021]]</f>
        <v>50</v>
      </c>
      <c r="Y57" s="121">
        <f>+Tabla1[[#This Row],[STOCK MAYO 2021]]-Tabla1[[#This Row],[REQUISICIONES JUNIO 2021]]+Tabla1[[#This Row],[ENTRADAS JUNIO 2021]]</f>
        <v>47</v>
      </c>
      <c r="Z57" s="30" t="s">
        <v>34</v>
      </c>
      <c r="AA57" s="122">
        <v>32</v>
      </c>
      <c r="AB57" s="93">
        <f t="shared" si="0"/>
        <v>37.76</v>
      </c>
      <c r="AC57" s="93">
        <f>Tabla1[[#This Row],[STOCK JUNIO ]]*Tabla1[[#This Row],[COSTO UNITARIO SIN ITBIS]]</f>
        <v>1504</v>
      </c>
    </row>
    <row r="58" spans="1:29" s="8" customFormat="1" x14ac:dyDescent="0.25">
      <c r="A58" s="261">
        <v>49</v>
      </c>
      <c r="B58" s="31">
        <v>43440</v>
      </c>
      <c r="C58" s="28" t="s">
        <v>11</v>
      </c>
      <c r="D58" s="31">
        <v>43440</v>
      </c>
      <c r="E58" s="137"/>
      <c r="F58" s="28">
        <v>1377</v>
      </c>
      <c r="G58" s="32" t="s">
        <v>46</v>
      </c>
      <c r="H58" s="46">
        <v>200</v>
      </c>
      <c r="I58" s="46">
        <f>3+1</f>
        <v>4</v>
      </c>
      <c r="J58" s="46">
        <f>+'INVENTARIO ABRIL-JUNIO 2021'!$H58-'INVENTARIO ABRIL-JUNIO 2021'!$I58</f>
        <v>196</v>
      </c>
      <c r="K58" s="46"/>
      <c r="L58" s="46"/>
      <c r="M58" s="46"/>
      <c r="N58" s="46"/>
      <c r="O58" s="167"/>
      <c r="P58" s="46">
        <f>3+3+2+2+2+5+5+3+3+4</f>
        <v>32</v>
      </c>
      <c r="Q58" s="46">
        <f>1+3+61+5+1+3+2+4+1+6+2</f>
        <v>89</v>
      </c>
      <c r="R58" s="46">
        <f>6+1+5+3+3+3+2+1+2+3+2+3+4+3+2+11</f>
        <v>54</v>
      </c>
      <c r="S58" s="46">
        <f>1+1+3+3+3+1</f>
        <v>12</v>
      </c>
      <c r="T58" s="46"/>
      <c r="U58" s="46">
        <f>+Tabla1[[#This Row],[STOCK    FISICO ENERO 2021]]-Tabla1[[#This Row],[REQUISICIONES FEBRERO 2021]]</f>
        <v>164</v>
      </c>
      <c r="V58" s="46">
        <f>+Tabla1[[#This Row],[STOCK  FEBRERO 2021]]-Tabla1[[#This Row],[REQUISICIONES MARZO 2021]]+Tabla1[[#This Row],[ENTRADAS MARZO 2021]]</f>
        <v>75</v>
      </c>
      <c r="W58" s="46">
        <f>+Tabla1[[#This Row],[STOCK MARZO 2021]]-Tabla1[[#This Row],[REQUISICIONES ABRIL 2021]]+Tabla1[[#This Row],[ENTRADAS ABRIL 2021]]</f>
        <v>21</v>
      </c>
      <c r="X58" s="46">
        <f>+Tabla1[[#This Row],[STOCK ABRIL 2021]]-Tabla1[[#This Row],[REQUISICIONES MAYO 2021]]+Tabla1[[#This Row],[ENTRADAS MAYO 2021]]</f>
        <v>9</v>
      </c>
      <c r="Y58" s="46">
        <f>+Tabla1[[#This Row],[STOCK MAYO 2021]]-Tabla1[[#This Row],[REQUISICIONES JUNIO 2021]]+Tabla1[[#This Row],[ENTRADAS JUNIO 2021]]</f>
        <v>9</v>
      </c>
      <c r="Z58" s="30" t="s">
        <v>12</v>
      </c>
      <c r="AA58" s="34">
        <v>23.6</v>
      </c>
      <c r="AB58" s="35">
        <f t="shared" si="0"/>
        <v>27.848000000000003</v>
      </c>
      <c r="AC58" s="93">
        <f>Tabla1[[#This Row],[STOCK JUNIO ]]*Tabla1[[#This Row],[COSTO UNITARIO SIN ITBIS]]</f>
        <v>212.4</v>
      </c>
    </row>
    <row r="59" spans="1:29" s="8" customFormat="1" x14ac:dyDescent="0.25">
      <c r="A59" s="261">
        <v>50</v>
      </c>
      <c r="B59" s="31">
        <v>43388</v>
      </c>
      <c r="C59" s="28" t="s">
        <v>11</v>
      </c>
      <c r="D59" s="31">
        <v>43388</v>
      </c>
      <c r="E59" s="137"/>
      <c r="F59" s="28">
        <v>1424</v>
      </c>
      <c r="G59" s="32" t="s">
        <v>47</v>
      </c>
      <c r="H59" s="33">
        <v>63</v>
      </c>
      <c r="I59" s="33"/>
      <c r="J59" s="33">
        <f>+'INVENTARIO ABRIL-JUNIO 2021'!$H59-'INVENTARIO ABRIL-JUNIO 2021'!$I59</f>
        <v>63</v>
      </c>
      <c r="K59" s="33"/>
      <c r="L59" s="33"/>
      <c r="M59" s="33"/>
      <c r="N59" s="33"/>
      <c r="O59" s="167"/>
      <c r="P59" s="33"/>
      <c r="Q59" s="33"/>
      <c r="R59" s="33">
        <v>1</v>
      </c>
      <c r="S59" s="33">
        <f>2+2+1+1+2</f>
        <v>8</v>
      </c>
      <c r="T59" s="33"/>
      <c r="U59" s="33">
        <f>+Tabla1[[#This Row],[STOCK    FISICO ENERO 2021]]-Tabla1[[#This Row],[REQUISICIONES FEBRERO 2021]]</f>
        <v>63</v>
      </c>
      <c r="V59" s="33">
        <f>+Tabla1[[#This Row],[STOCK  FEBRERO 2021]]-Tabla1[[#This Row],[REQUISICIONES MARZO 2021]]+Tabla1[[#This Row],[ENTRADAS MARZO 2021]]</f>
        <v>63</v>
      </c>
      <c r="W59" s="33">
        <f>+Tabla1[[#This Row],[STOCK MARZO 2021]]-Tabla1[[#This Row],[REQUISICIONES ABRIL 2021]]+Tabla1[[#This Row],[ENTRADAS ABRIL 2021]]</f>
        <v>62</v>
      </c>
      <c r="X59" s="33">
        <f>+Tabla1[[#This Row],[STOCK ABRIL 2021]]-Tabla1[[#This Row],[REQUISICIONES MAYO 2021]]+Tabla1[[#This Row],[ENTRADAS MAYO 2021]]</f>
        <v>54</v>
      </c>
      <c r="Y59" s="33">
        <f>+Tabla1[[#This Row],[STOCK MAYO 2021]]-Tabla1[[#This Row],[REQUISICIONES JUNIO 2021]]+Tabla1[[#This Row],[ENTRADAS JUNIO 2021]]</f>
        <v>54</v>
      </c>
      <c r="Z59" s="30" t="s">
        <v>48</v>
      </c>
      <c r="AA59" s="34">
        <v>424.8</v>
      </c>
      <c r="AB59" s="35">
        <f t="shared" ref="AB59:AB105" si="1">AA59*0.18+AA59</f>
        <v>501.26400000000001</v>
      </c>
      <c r="AC59" s="93">
        <f>Tabla1[[#This Row],[STOCK JUNIO ]]*Tabla1[[#This Row],[COSTO UNITARIO SIN ITBIS]]</f>
        <v>22939.200000000001</v>
      </c>
    </row>
    <row r="60" spans="1:29" s="8" customFormat="1" x14ac:dyDescent="0.25">
      <c r="A60" s="261">
        <v>51</v>
      </c>
      <c r="B60" s="31">
        <v>43440</v>
      </c>
      <c r="C60" s="28" t="s">
        <v>11</v>
      </c>
      <c r="D60" s="31">
        <v>43440</v>
      </c>
      <c r="E60" s="137"/>
      <c r="F60" s="28">
        <v>1391</v>
      </c>
      <c r="G60" s="32" t="s">
        <v>49</v>
      </c>
      <c r="H60" s="33">
        <f>89+72</f>
        <v>161</v>
      </c>
      <c r="I60" s="33"/>
      <c r="J60" s="33">
        <f>+'INVENTARIO ABRIL-JUNIO 2021'!$H60-'INVENTARIO ABRIL-JUNIO 2021'!$I60</f>
        <v>161</v>
      </c>
      <c r="K60" s="33"/>
      <c r="L60" s="33"/>
      <c r="M60" s="33"/>
      <c r="N60" s="33"/>
      <c r="O60" s="167"/>
      <c r="P60" s="33">
        <f>1+1+1+1+2</f>
        <v>6</v>
      </c>
      <c r="Q60" s="33">
        <v>2</v>
      </c>
      <c r="R60" s="33">
        <f>2+2+1+1+2+1</f>
        <v>9</v>
      </c>
      <c r="S60" s="33">
        <f>2+1</f>
        <v>3</v>
      </c>
      <c r="T60" s="33">
        <f>1+1</f>
        <v>2</v>
      </c>
      <c r="U60" s="33">
        <f>+Tabla1[[#This Row],[STOCK    FISICO ENERO 2021]]-Tabla1[[#This Row],[REQUISICIONES FEBRERO 2021]]</f>
        <v>155</v>
      </c>
      <c r="V60" s="33">
        <f>+Tabla1[[#This Row],[STOCK  FEBRERO 2021]]-Tabla1[[#This Row],[REQUISICIONES MARZO 2021]]+Tabla1[[#This Row],[ENTRADAS MARZO 2021]]</f>
        <v>153</v>
      </c>
      <c r="W60" s="33">
        <f>+Tabla1[[#This Row],[STOCK MARZO 2021]]-Tabla1[[#This Row],[REQUISICIONES ABRIL 2021]]+Tabla1[[#This Row],[ENTRADAS ABRIL 2021]]</f>
        <v>144</v>
      </c>
      <c r="X60" s="33">
        <f>+Tabla1[[#This Row],[STOCK ABRIL 2021]]-Tabla1[[#This Row],[REQUISICIONES MAYO 2021]]+Tabla1[[#This Row],[ENTRADAS MAYO 2021]]</f>
        <v>141</v>
      </c>
      <c r="Y60" s="33">
        <f>+Tabla1[[#This Row],[STOCK MAYO 2021]]-Tabla1[[#This Row],[REQUISICIONES JUNIO 2021]]+Tabla1[[#This Row],[ENTRADAS JUNIO 2021]]</f>
        <v>139</v>
      </c>
      <c r="Z60" s="30" t="s">
        <v>12</v>
      </c>
      <c r="AA60" s="34">
        <v>62</v>
      </c>
      <c r="AB60" s="35">
        <f t="shared" si="1"/>
        <v>73.16</v>
      </c>
      <c r="AC60" s="93">
        <f>Tabla1[[#This Row],[STOCK JUNIO ]]*Tabla1[[#This Row],[COSTO UNITARIO SIN ITBIS]]</f>
        <v>8618</v>
      </c>
    </row>
    <row r="61" spans="1:29" s="8" customFormat="1" x14ac:dyDescent="0.25">
      <c r="A61" s="261">
        <v>52</v>
      </c>
      <c r="B61" s="42">
        <v>43440</v>
      </c>
      <c r="C61" s="41" t="s">
        <v>11</v>
      </c>
      <c r="D61" s="42">
        <v>43440</v>
      </c>
      <c r="E61" s="139"/>
      <c r="F61" s="43">
        <v>1074</v>
      </c>
      <c r="G61" s="40" t="s">
        <v>50</v>
      </c>
      <c r="H61" s="40">
        <v>505</v>
      </c>
      <c r="I61" s="40"/>
      <c r="J61" s="40">
        <f>+'INVENTARIO ABRIL-JUNIO 2021'!$H61-'INVENTARIO ABRIL-JUNIO 2021'!$I61</f>
        <v>505</v>
      </c>
      <c r="K61" s="40"/>
      <c r="L61" s="40"/>
      <c r="M61" s="40"/>
      <c r="N61" s="40"/>
      <c r="O61" s="168"/>
      <c r="P61" s="40"/>
      <c r="Q61" s="40"/>
      <c r="R61" s="40"/>
      <c r="S61" s="40">
        <v>12</v>
      </c>
      <c r="T61" s="40">
        <v>10</v>
      </c>
      <c r="U61" s="40">
        <f>+Tabla1[[#This Row],[STOCK    FISICO ENERO 2021]]-Tabla1[[#This Row],[REQUISICIONES FEBRERO 2021]]</f>
        <v>505</v>
      </c>
      <c r="V61" s="40">
        <f>+Tabla1[[#This Row],[STOCK  FEBRERO 2021]]-Tabla1[[#This Row],[REQUISICIONES MARZO 2021]]+Tabla1[[#This Row],[ENTRADAS MARZO 2021]]</f>
        <v>505</v>
      </c>
      <c r="W61" s="40">
        <f>+Tabla1[[#This Row],[STOCK MARZO 2021]]-Tabla1[[#This Row],[REQUISICIONES ABRIL 2021]]+Tabla1[[#This Row],[ENTRADAS ABRIL 2021]]</f>
        <v>505</v>
      </c>
      <c r="X61" s="40">
        <f>+Tabla1[[#This Row],[STOCK ABRIL 2021]]-Tabla1[[#This Row],[REQUISICIONES MAYO 2021]]+Tabla1[[#This Row],[ENTRADAS MAYO 2021]]</f>
        <v>493</v>
      </c>
      <c r="Y61" s="40">
        <f>+Tabla1[[#This Row],[STOCK MAYO 2021]]-Tabla1[[#This Row],[REQUISICIONES JUNIO 2021]]+Tabla1[[#This Row],[ENTRADAS JUNIO 2021]]</f>
        <v>483</v>
      </c>
      <c r="Z61" s="40" t="s">
        <v>12</v>
      </c>
      <c r="AA61" s="45">
        <v>9.06</v>
      </c>
      <c r="AB61" s="35">
        <f t="shared" si="1"/>
        <v>10.690800000000001</v>
      </c>
      <c r="AC61" s="93">
        <f>Tabla1[[#This Row],[STOCK JUNIO ]]*Tabla1[[#This Row],[COSTO UNITARIO SIN ITBIS]]</f>
        <v>4375.9800000000005</v>
      </c>
    </row>
    <row r="62" spans="1:29" s="11" customFormat="1" x14ac:dyDescent="0.25">
      <c r="A62" s="261">
        <v>53</v>
      </c>
      <c r="B62" s="31">
        <v>44286</v>
      </c>
      <c r="C62" s="28" t="s">
        <v>11</v>
      </c>
      <c r="D62" s="31">
        <v>44286</v>
      </c>
      <c r="E62" s="137" t="s">
        <v>767</v>
      </c>
      <c r="F62" s="44"/>
      <c r="G62" s="32" t="s">
        <v>51</v>
      </c>
      <c r="H62" s="33"/>
      <c r="I62" s="33"/>
      <c r="J62" s="120">
        <f>+'INVENTARIO ABRIL-JUNIO 2021'!$H62-'INVENTARIO ABRIL-JUNIO 2021'!$I62</f>
        <v>0</v>
      </c>
      <c r="K62" s="33"/>
      <c r="L62" s="33">
        <f>1*100</f>
        <v>100</v>
      </c>
      <c r="M62" s="33"/>
      <c r="N62" s="33"/>
      <c r="O62" s="167"/>
      <c r="P62" s="33"/>
      <c r="Q62" s="33"/>
      <c r="R62" s="33">
        <v>100</v>
      </c>
      <c r="S62" s="33"/>
      <c r="T62" s="33"/>
      <c r="U62" s="33">
        <f>+Tabla1[[#This Row],[STOCK    FISICO ENERO 2021]]-Tabla1[[#This Row],[REQUISICIONES FEBRERO 2021]]</f>
        <v>0</v>
      </c>
      <c r="V62" s="33">
        <f>+Tabla1[[#This Row],[STOCK  FEBRERO 2021]]-Tabla1[[#This Row],[REQUISICIONES MARZO 2021]]+Tabla1[[#This Row],[ENTRADAS MARZO 2021]]</f>
        <v>100</v>
      </c>
      <c r="W62" s="33">
        <f>+Tabla1[[#This Row],[STOCK MARZO 2021]]-Tabla1[[#This Row],[REQUISICIONES ABRIL 2021]]+Tabla1[[#This Row],[ENTRADAS ABRIL 2021]]</f>
        <v>0</v>
      </c>
      <c r="X62" s="33">
        <f>+Tabla1[[#This Row],[STOCK ABRIL 2021]]-Tabla1[[#This Row],[REQUISICIONES MAYO 2021]]+Tabla1[[#This Row],[ENTRADAS MAYO 2021]]</f>
        <v>0</v>
      </c>
      <c r="Y62" s="33">
        <f>+Tabla1[[#This Row],[STOCK MAYO 2021]]-Tabla1[[#This Row],[REQUISICIONES JUNIO 2021]]+Tabla1[[#This Row],[ENTRADAS JUNIO 2021]]</f>
        <v>0</v>
      </c>
      <c r="Z62" s="30" t="s">
        <v>12</v>
      </c>
      <c r="AA62" s="45">
        <v>2.5</v>
      </c>
      <c r="AB62" s="93">
        <f t="shared" si="1"/>
        <v>2.95</v>
      </c>
      <c r="AC62" s="93">
        <f>Tabla1[[#This Row],[STOCK JUNIO ]]*Tabla1[[#This Row],[COSTO UNITARIO SIN ITBIS]]</f>
        <v>0</v>
      </c>
    </row>
    <row r="63" spans="1:29" s="11" customFormat="1" x14ac:dyDescent="0.25">
      <c r="A63" s="261">
        <v>54</v>
      </c>
      <c r="B63" s="31">
        <v>44285</v>
      </c>
      <c r="C63" s="28" t="s">
        <v>11</v>
      </c>
      <c r="D63" s="31">
        <v>44285</v>
      </c>
      <c r="E63" s="137" t="s">
        <v>739</v>
      </c>
      <c r="F63" s="129"/>
      <c r="G63" s="32" t="s">
        <v>52</v>
      </c>
      <c r="H63" s="33"/>
      <c r="I63" s="33"/>
      <c r="J63" s="33">
        <f>+'INVENTARIO ABRIL-JUNIO 2021'!$H63-'INVENTARIO ABRIL-JUNIO 2021'!$I63</f>
        <v>0</v>
      </c>
      <c r="K63" s="33"/>
      <c r="L63" s="33">
        <v>100</v>
      </c>
      <c r="M63" s="33"/>
      <c r="N63" s="33"/>
      <c r="O63" s="167"/>
      <c r="P63" s="33"/>
      <c r="Q63" s="33"/>
      <c r="R63" s="33">
        <v>100</v>
      </c>
      <c r="S63" s="33"/>
      <c r="T63" s="33"/>
      <c r="U63" s="33">
        <f>+Tabla1[[#This Row],[STOCK    FISICO ENERO 2021]]-Tabla1[[#This Row],[REQUISICIONES FEBRERO 2021]]</f>
        <v>0</v>
      </c>
      <c r="V63" s="33">
        <f>+Tabla1[[#This Row],[STOCK  FEBRERO 2021]]-Tabla1[[#This Row],[REQUISICIONES MARZO 2021]]+Tabla1[[#This Row],[ENTRADAS MARZO 2021]]</f>
        <v>100</v>
      </c>
      <c r="W63" s="33">
        <f>+Tabla1[[#This Row],[STOCK MARZO 2021]]-Tabla1[[#This Row],[REQUISICIONES ABRIL 2021]]+Tabla1[[#This Row],[ENTRADAS ABRIL 2021]]</f>
        <v>0</v>
      </c>
      <c r="X63" s="33">
        <f>+Tabla1[[#This Row],[STOCK ABRIL 2021]]-Tabla1[[#This Row],[REQUISICIONES MAYO 2021]]+Tabla1[[#This Row],[ENTRADAS MAYO 2021]]</f>
        <v>0</v>
      </c>
      <c r="Y63" s="33">
        <f>+Tabla1[[#This Row],[STOCK MAYO 2021]]-Tabla1[[#This Row],[REQUISICIONES JUNIO 2021]]+Tabla1[[#This Row],[ENTRADAS JUNIO 2021]]</f>
        <v>0</v>
      </c>
      <c r="Z63" s="30" t="s">
        <v>12</v>
      </c>
      <c r="AA63" s="34">
        <v>2.1</v>
      </c>
      <c r="AB63" s="93">
        <f t="shared" si="1"/>
        <v>2.4780000000000002</v>
      </c>
      <c r="AC63" s="93">
        <f>Tabla1[[#This Row],[STOCK JUNIO ]]*Tabla1[[#This Row],[COSTO UNITARIO SIN ITBIS]]</f>
        <v>0</v>
      </c>
    </row>
    <row r="64" spans="1:29" s="8" customFormat="1" x14ac:dyDescent="0.25">
      <c r="A64" s="261">
        <v>55</v>
      </c>
      <c r="B64" s="31">
        <v>44109</v>
      </c>
      <c r="C64" s="28" t="s">
        <v>11</v>
      </c>
      <c r="D64" s="31">
        <v>44109</v>
      </c>
      <c r="E64" s="137"/>
      <c r="F64" s="44" t="s">
        <v>20</v>
      </c>
      <c r="G64" s="40" t="s">
        <v>53</v>
      </c>
      <c r="H64" s="40">
        <v>936</v>
      </c>
      <c r="I64" s="40"/>
      <c r="J64" s="40">
        <f>+'INVENTARIO ABRIL-JUNIO 2021'!$H64-'INVENTARIO ABRIL-JUNIO 2021'!$I64</f>
        <v>936</v>
      </c>
      <c r="K64" s="40"/>
      <c r="L64" s="40"/>
      <c r="M64" s="40"/>
      <c r="N64" s="40"/>
      <c r="O64" s="168"/>
      <c r="P64" s="40">
        <v>5</v>
      </c>
      <c r="Q64" s="40">
        <f>4+5+5</f>
        <v>14</v>
      </c>
      <c r="R64" s="40">
        <f>2+5+2+24</f>
        <v>33</v>
      </c>
      <c r="S64" s="40">
        <v>1</v>
      </c>
      <c r="T64" s="40">
        <f>3+8+10+5</f>
        <v>26</v>
      </c>
      <c r="U64" s="40">
        <f>+Tabla1[[#This Row],[STOCK    FISICO ENERO 2021]]-Tabla1[[#This Row],[REQUISICIONES FEBRERO 2021]]</f>
        <v>931</v>
      </c>
      <c r="V64" s="40">
        <f>+Tabla1[[#This Row],[STOCK  FEBRERO 2021]]-Tabla1[[#This Row],[REQUISICIONES MARZO 2021]]+Tabla1[[#This Row],[ENTRADAS MARZO 2021]]</f>
        <v>917</v>
      </c>
      <c r="W64" s="40">
        <f>+Tabla1[[#This Row],[STOCK MARZO 2021]]-Tabla1[[#This Row],[REQUISICIONES ABRIL 2021]]+Tabla1[[#This Row],[ENTRADAS ABRIL 2021]]</f>
        <v>884</v>
      </c>
      <c r="X64" s="40">
        <f>+Tabla1[[#This Row],[STOCK ABRIL 2021]]-Tabla1[[#This Row],[REQUISICIONES MAYO 2021]]+Tabla1[[#This Row],[ENTRADAS MAYO 2021]]</f>
        <v>883</v>
      </c>
      <c r="Y64" s="40">
        <f>+Tabla1[[#This Row],[STOCK MAYO 2021]]-Tabla1[[#This Row],[REQUISICIONES JUNIO 2021]]+Tabla1[[#This Row],[ENTRADAS JUNIO 2021]]</f>
        <v>857</v>
      </c>
      <c r="Z64" s="30" t="s">
        <v>12</v>
      </c>
      <c r="AA64" s="45">
        <v>14</v>
      </c>
      <c r="AB64" s="35">
        <f t="shared" si="1"/>
        <v>16.52</v>
      </c>
      <c r="AC64" s="93">
        <f>Tabla1[[#This Row],[STOCK JUNIO ]]*Tabla1[[#This Row],[COSTO UNITARIO SIN ITBIS]]</f>
        <v>11998</v>
      </c>
    </row>
    <row r="65" spans="1:29" s="11" customFormat="1" x14ac:dyDescent="0.25">
      <c r="A65" s="261">
        <v>56</v>
      </c>
      <c r="B65" s="31">
        <v>44109</v>
      </c>
      <c r="C65" s="28" t="s">
        <v>11</v>
      </c>
      <c r="D65" s="31">
        <v>44109</v>
      </c>
      <c r="E65" s="137"/>
      <c r="F65" s="44" t="s">
        <v>20</v>
      </c>
      <c r="G65" s="40" t="s">
        <v>54</v>
      </c>
      <c r="H65" s="40"/>
      <c r="I65" s="40"/>
      <c r="J65" s="40">
        <f>+'INVENTARIO ABRIL-JUNIO 2021'!$H65-'INVENTARIO ABRIL-JUNIO 2021'!$I65</f>
        <v>0</v>
      </c>
      <c r="K65" s="40"/>
      <c r="L65" s="40"/>
      <c r="M65" s="40"/>
      <c r="N65" s="40"/>
      <c r="O65" s="168"/>
      <c r="P65" s="40"/>
      <c r="Q65" s="40"/>
      <c r="R65" s="40"/>
      <c r="S65" s="40"/>
      <c r="T65" s="40"/>
      <c r="U65" s="40">
        <f>+Tabla1[[#This Row],[STOCK    FISICO ENERO 2021]]-Tabla1[[#This Row],[REQUISICIONES FEBRERO 2021]]</f>
        <v>0</v>
      </c>
      <c r="V65" s="40">
        <f>+Tabla1[[#This Row],[STOCK  FEBRERO 2021]]-Tabla1[[#This Row],[REQUISICIONES MARZO 2021]]+Tabla1[[#This Row],[ENTRADAS MARZO 2021]]</f>
        <v>0</v>
      </c>
      <c r="W65" s="40">
        <f>+Tabla1[[#This Row],[STOCK MARZO 2021]]-Tabla1[[#This Row],[REQUISICIONES ABRIL 2021]]+Tabla1[[#This Row],[ENTRADAS ABRIL 2021]]</f>
        <v>0</v>
      </c>
      <c r="X65" s="40">
        <f>+Tabla1[[#This Row],[STOCK ABRIL 2021]]-Tabla1[[#This Row],[REQUISICIONES MAYO 2021]]+Tabla1[[#This Row],[ENTRADAS MAYO 2021]]</f>
        <v>0</v>
      </c>
      <c r="Y65" s="40">
        <f>+Tabla1[[#This Row],[STOCK MAYO 2021]]-Tabla1[[#This Row],[REQUISICIONES JUNIO 2021]]+Tabla1[[#This Row],[ENTRADAS JUNIO 2021]]</f>
        <v>0</v>
      </c>
      <c r="Z65" s="30" t="s">
        <v>12</v>
      </c>
      <c r="AA65" s="45">
        <v>14</v>
      </c>
      <c r="AB65" s="35">
        <f t="shared" si="1"/>
        <v>16.52</v>
      </c>
      <c r="AC65" s="93">
        <f>Tabla1[[#This Row],[STOCK JUNIO ]]*Tabla1[[#This Row],[COSTO UNITARIO SIN ITBIS]]</f>
        <v>0</v>
      </c>
    </row>
    <row r="66" spans="1:29" s="8" customFormat="1" x14ac:dyDescent="0.25">
      <c r="A66" s="261">
        <v>57</v>
      </c>
      <c r="B66" s="31">
        <v>43647</v>
      </c>
      <c r="C66" s="28" t="s">
        <v>11</v>
      </c>
      <c r="D66" s="31">
        <v>43752</v>
      </c>
      <c r="E66" s="137"/>
      <c r="F66" s="28">
        <v>1491</v>
      </c>
      <c r="G66" s="40" t="s">
        <v>55</v>
      </c>
      <c r="H66" s="40">
        <v>576</v>
      </c>
      <c r="I66" s="40"/>
      <c r="J66" s="40">
        <f>+'INVENTARIO ABRIL-JUNIO 2021'!$H66-'INVENTARIO ABRIL-JUNIO 2021'!$I66</f>
        <v>576</v>
      </c>
      <c r="K66" s="40"/>
      <c r="L66" s="40"/>
      <c r="M66" s="40"/>
      <c r="N66" s="40"/>
      <c r="O66" s="168"/>
      <c r="P66" s="40"/>
      <c r="Q66" s="40"/>
      <c r="R66" s="40"/>
      <c r="S66" s="40"/>
      <c r="T66" s="40"/>
      <c r="U66" s="40">
        <f>+Tabla1[[#This Row],[STOCK    FISICO ENERO 2021]]-Tabla1[[#This Row],[REQUISICIONES FEBRERO 2021]]</f>
        <v>576</v>
      </c>
      <c r="V66" s="40">
        <f>+Tabla1[[#This Row],[STOCK  FEBRERO 2021]]-Tabla1[[#This Row],[REQUISICIONES MARZO 2021]]+Tabla1[[#This Row],[ENTRADAS MARZO 2021]]</f>
        <v>576</v>
      </c>
      <c r="W66" s="40">
        <f>+Tabla1[[#This Row],[STOCK MARZO 2021]]-Tabla1[[#This Row],[REQUISICIONES ABRIL 2021]]+Tabla1[[#This Row],[ENTRADAS ABRIL 2021]]</f>
        <v>576</v>
      </c>
      <c r="X66" s="40">
        <f>+Tabla1[[#This Row],[STOCK ABRIL 2021]]-Tabla1[[#This Row],[REQUISICIONES MAYO 2021]]+Tabla1[[#This Row],[ENTRADAS MAYO 2021]]</f>
        <v>576</v>
      </c>
      <c r="Y66" s="40">
        <f>+Tabla1[[#This Row],[STOCK MAYO 2021]]-Tabla1[[#This Row],[REQUISICIONES JUNIO 2021]]+Tabla1[[#This Row],[ENTRADAS JUNIO 2021]]</f>
        <v>576</v>
      </c>
      <c r="Z66" s="30" t="s">
        <v>12</v>
      </c>
      <c r="AA66" s="45">
        <v>14.5</v>
      </c>
      <c r="AB66" s="35">
        <f t="shared" si="1"/>
        <v>17.11</v>
      </c>
      <c r="AC66" s="93">
        <f>Tabla1[[#This Row],[STOCK JUNIO ]]*Tabla1[[#This Row],[COSTO UNITARIO SIN ITBIS]]</f>
        <v>8352</v>
      </c>
    </row>
    <row r="67" spans="1:29" s="8" customFormat="1" x14ac:dyDescent="0.25">
      <c r="A67" s="261">
        <v>58</v>
      </c>
      <c r="B67" s="31">
        <v>43440</v>
      </c>
      <c r="C67" s="28" t="s">
        <v>11</v>
      </c>
      <c r="D67" s="31">
        <v>43440</v>
      </c>
      <c r="E67" s="137"/>
      <c r="F67" s="28">
        <v>1378</v>
      </c>
      <c r="G67" s="40" t="s">
        <v>56</v>
      </c>
      <c r="H67" s="46">
        <v>12480</v>
      </c>
      <c r="I67" s="46">
        <f>100+100+100</f>
        <v>300</v>
      </c>
      <c r="J67" s="46">
        <f>+'INVENTARIO ABRIL-JUNIO 2021'!$H67-'INVENTARIO ABRIL-JUNIO 2021'!$I67</f>
        <v>12180</v>
      </c>
      <c r="K67" s="46"/>
      <c r="L67" s="46"/>
      <c r="M67" s="46"/>
      <c r="N67" s="46"/>
      <c r="O67" s="167"/>
      <c r="P67" s="46">
        <f>100+100+100+50+100+12+100+100+100+100+100+100+100+100+100+100+100+100+50+50+100+100+100</f>
        <v>2062</v>
      </c>
      <c r="Q67" s="46">
        <f>10+100+100+100+25+3+30+100+100+25+200+30+100+100+100+800+100</f>
        <v>2023</v>
      </c>
      <c r="R67" s="46">
        <f>100+100+100+200+100+100+100+100+100+100+100+10+30+100+100+100</f>
        <v>1540</v>
      </c>
      <c r="S67" s="46">
        <f>100+100+100+100+100+100+100+100+50+100+100+100+12+10+600+30</f>
        <v>1802</v>
      </c>
      <c r="T67" s="46">
        <f>100+100+100+100+100+10+500+100+100+100+100+100+100+100+100+100+100</f>
        <v>2010</v>
      </c>
      <c r="U67" s="46">
        <f>+Tabla1[[#This Row],[STOCK    FISICO ENERO 2021]]-Tabla1[[#This Row],[REQUISICIONES FEBRERO 2021]]</f>
        <v>10118</v>
      </c>
      <c r="V67" s="46">
        <f>+Tabla1[[#This Row],[STOCK  FEBRERO 2021]]-Tabla1[[#This Row],[REQUISICIONES MARZO 2021]]+Tabla1[[#This Row],[ENTRADAS MARZO 2021]]</f>
        <v>8095</v>
      </c>
      <c r="W67" s="46">
        <f>+Tabla1[[#This Row],[STOCK MARZO 2021]]-Tabla1[[#This Row],[REQUISICIONES ABRIL 2021]]+Tabla1[[#This Row],[ENTRADAS ABRIL 2021]]</f>
        <v>6555</v>
      </c>
      <c r="X67" s="46">
        <f>+Tabla1[[#This Row],[STOCK ABRIL 2021]]-Tabla1[[#This Row],[REQUISICIONES MAYO 2021]]+Tabla1[[#This Row],[ENTRADAS MAYO 2021]]</f>
        <v>4753</v>
      </c>
      <c r="Y67" s="46">
        <f>+Tabla1[[#This Row],[STOCK MAYO 2021]]-Tabla1[[#This Row],[REQUISICIONES JUNIO 2021]]+Tabla1[[#This Row],[ENTRADAS JUNIO 2021]]</f>
        <v>2743</v>
      </c>
      <c r="Z67" s="30" t="s">
        <v>12</v>
      </c>
      <c r="AA67" s="34">
        <v>2.1</v>
      </c>
      <c r="AB67" s="35">
        <f t="shared" si="1"/>
        <v>2.4780000000000002</v>
      </c>
      <c r="AC67" s="93">
        <f>Tabla1[[#This Row],[STOCK JUNIO ]]*Tabla1[[#This Row],[COSTO UNITARIO SIN ITBIS]]</f>
        <v>5760.3</v>
      </c>
    </row>
    <row r="68" spans="1:29" s="11" customFormat="1" x14ac:dyDescent="0.25">
      <c r="A68" s="261">
        <v>59</v>
      </c>
      <c r="B68" s="117">
        <v>44312</v>
      </c>
      <c r="C68" s="28" t="s">
        <v>11</v>
      </c>
      <c r="D68" s="117">
        <v>44301</v>
      </c>
      <c r="E68" s="138" t="s">
        <v>739</v>
      </c>
      <c r="F68" s="197"/>
      <c r="G68" s="40" t="s">
        <v>816</v>
      </c>
      <c r="H68" s="126"/>
      <c r="I68" s="126"/>
      <c r="J68" s="33">
        <f>+'INVENTARIO ABRIL-JUNIO 2021'!$H68-'INVENTARIO ABRIL-JUNIO 2021'!$I68</f>
        <v>0</v>
      </c>
      <c r="K68" s="126"/>
      <c r="L68" s="126"/>
      <c r="M68" s="126">
        <f>50*100</f>
        <v>5000</v>
      </c>
      <c r="N68" s="126"/>
      <c r="O68" s="121"/>
      <c r="P68" s="126"/>
      <c r="Q68" s="126"/>
      <c r="R68" s="126"/>
      <c r="S68" s="126"/>
      <c r="T68" s="126"/>
      <c r="U68" s="121">
        <f>+Tabla1[[#This Row],[STOCK    FISICO ENERO 2021]]-Tabla1[[#This Row],[REQUISICIONES FEBRERO 2021]]</f>
        <v>0</v>
      </c>
      <c r="V68" s="121">
        <f>+Tabla1[[#This Row],[STOCK  FEBRERO 2021]]-Tabla1[[#This Row],[REQUISICIONES MARZO 2021]]+Tabla1[[#This Row],[ENTRADAS MARZO 2021]]</f>
        <v>0</v>
      </c>
      <c r="W68" s="167">
        <f>+Tabla1[[#This Row],[STOCK MARZO 2021]]-Tabla1[[#This Row],[REQUISICIONES ABRIL 2021]]+Tabla1[[#This Row],[ENTRADAS ABRIL 2021]]</f>
        <v>5000</v>
      </c>
      <c r="X68" s="167">
        <f>+Tabla1[[#This Row],[STOCK ABRIL 2021]]-Tabla1[[#This Row],[REQUISICIONES MAYO 2021]]+Tabla1[[#This Row],[ENTRADAS MAYO 2021]]</f>
        <v>5000</v>
      </c>
      <c r="Y68" s="167">
        <f>+Tabla1[[#This Row],[STOCK MAYO 2021]]-Tabla1[[#This Row],[REQUISICIONES JUNIO 2021]]+Tabla1[[#This Row],[ENTRADAS JUNIO 2021]]</f>
        <v>5000</v>
      </c>
      <c r="Z68" s="30" t="s">
        <v>12</v>
      </c>
      <c r="AA68" s="122"/>
      <c r="AB68" s="123"/>
      <c r="AC68" s="93">
        <f>Tabla1[[#This Row],[STOCK JUNIO ]]*Tabla1[[#This Row],[COSTO UNITARIO SIN ITBIS]]</f>
        <v>0</v>
      </c>
    </row>
    <row r="69" spans="1:29" s="8" customFormat="1" x14ac:dyDescent="0.25">
      <c r="A69" s="261">
        <v>60</v>
      </c>
      <c r="B69" s="42">
        <v>43440</v>
      </c>
      <c r="C69" s="41" t="s">
        <v>11</v>
      </c>
      <c r="D69" s="42">
        <v>43440</v>
      </c>
      <c r="E69" s="139"/>
      <c r="F69" s="43">
        <v>1086</v>
      </c>
      <c r="G69" s="40" t="s">
        <v>57</v>
      </c>
      <c r="H69" s="49">
        <v>7300</v>
      </c>
      <c r="I69" s="49"/>
      <c r="J69" s="49">
        <f>+'INVENTARIO ABRIL-JUNIO 2021'!$H69-'INVENTARIO ABRIL-JUNIO 2021'!$I69</f>
        <v>7300</v>
      </c>
      <c r="K69" s="49"/>
      <c r="L69" s="49"/>
      <c r="M69" s="49"/>
      <c r="N69" s="49"/>
      <c r="O69" s="168"/>
      <c r="P69" s="49">
        <v>100</v>
      </c>
      <c r="Q69" s="49">
        <v>30</v>
      </c>
      <c r="R69" s="49">
        <f>100+100</f>
        <v>200</v>
      </c>
      <c r="S69" s="49">
        <v>100</v>
      </c>
      <c r="T69" s="49">
        <f>100+100+100</f>
        <v>300</v>
      </c>
      <c r="U69" s="49">
        <f>+Tabla1[[#This Row],[STOCK    FISICO ENERO 2021]]-Tabla1[[#This Row],[REQUISICIONES FEBRERO 2021]]</f>
        <v>7200</v>
      </c>
      <c r="V69" s="49">
        <f>+Tabla1[[#This Row],[STOCK  FEBRERO 2021]]-Tabla1[[#This Row],[REQUISICIONES MARZO 2021]]+Tabla1[[#This Row],[ENTRADAS MARZO 2021]]</f>
        <v>7170</v>
      </c>
      <c r="W69" s="49">
        <f>+Tabla1[[#This Row],[STOCK MARZO 2021]]-Tabla1[[#This Row],[REQUISICIONES ABRIL 2021]]+Tabla1[[#This Row],[ENTRADAS ABRIL 2021]]</f>
        <v>6970</v>
      </c>
      <c r="X69" s="49">
        <f>+Tabla1[[#This Row],[STOCK ABRIL 2021]]-Tabla1[[#This Row],[REQUISICIONES MAYO 2021]]+Tabla1[[#This Row],[ENTRADAS MAYO 2021]]</f>
        <v>6870</v>
      </c>
      <c r="Y69" s="49">
        <f>+Tabla1[[#This Row],[STOCK MAYO 2021]]-Tabla1[[#This Row],[REQUISICIONES JUNIO 2021]]+Tabla1[[#This Row],[ENTRADAS JUNIO 2021]]</f>
        <v>6570</v>
      </c>
      <c r="Z69" s="40" t="s">
        <v>12</v>
      </c>
      <c r="AA69" s="45">
        <v>4.63</v>
      </c>
      <c r="AB69" s="35">
        <f t="shared" si="1"/>
        <v>5.4634</v>
      </c>
      <c r="AC69" s="93">
        <f>Tabla1[[#This Row],[STOCK JUNIO ]]*Tabla1[[#This Row],[COSTO UNITARIO SIN ITBIS]]</f>
        <v>30419.1</v>
      </c>
    </row>
    <row r="70" spans="1:29" s="8" customFormat="1" x14ac:dyDescent="0.25">
      <c r="A70" s="261">
        <v>61</v>
      </c>
      <c r="B70" s="31">
        <v>43325</v>
      </c>
      <c r="C70" s="28" t="s">
        <v>11</v>
      </c>
      <c r="D70" s="31">
        <v>44055</v>
      </c>
      <c r="E70" s="137"/>
      <c r="F70" s="28">
        <v>1361</v>
      </c>
      <c r="G70" s="38" t="s">
        <v>58</v>
      </c>
      <c r="H70" s="33">
        <f>695+150</f>
        <v>845</v>
      </c>
      <c r="I70" s="33"/>
      <c r="J70" s="33">
        <f>+'INVENTARIO ABRIL-JUNIO 2021'!$H70-'INVENTARIO ABRIL-JUNIO 2021'!$I70</f>
        <v>845</v>
      </c>
      <c r="K70" s="33"/>
      <c r="L70" s="33"/>
      <c r="M70" s="33"/>
      <c r="N70" s="33"/>
      <c r="O70" s="167"/>
      <c r="P70" s="33"/>
      <c r="Q70" s="33"/>
      <c r="R70" s="33"/>
      <c r="S70" s="33"/>
      <c r="T70" s="33">
        <v>40</v>
      </c>
      <c r="U70" s="33">
        <f>+Tabla1[[#This Row],[STOCK    FISICO ENERO 2021]]-Tabla1[[#This Row],[REQUISICIONES FEBRERO 2021]]</f>
        <v>845</v>
      </c>
      <c r="V70" s="33">
        <f>+Tabla1[[#This Row],[STOCK  FEBRERO 2021]]-Tabla1[[#This Row],[REQUISICIONES MARZO 2021]]+Tabla1[[#This Row],[ENTRADAS MARZO 2021]]</f>
        <v>845</v>
      </c>
      <c r="W70" s="33">
        <f>+Tabla1[[#This Row],[STOCK MARZO 2021]]-Tabla1[[#This Row],[REQUISICIONES ABRIL 2021]]+Tabla1[[#This Row],[ENTRADAS ABRIL 2021]]</f>
        <v>845</v>
      </c>
      <c r="X70" s="33">
        <f>+Tabla1[[#This Row],[STOCK ABRIL 2021]]-Tabla1[[#This Row],[REQUISICIONES MAYO 2021]]+Tabla1[[#This Row],[ENTRADAS MAYO 2021]]</f>
        <v>845</v>
      </c>
      <c r="Y70" s="33">
        <f>+Tabla1[[#This Row],[STOCK MAYO 2021]]-Tabla1[[#This Row],[REQUISICIONES JUNIO 2021]]+Tabla1[[#This Row],[ENTRADAS JUNIO 2021]]</f>
        <v>805</v>
      </c>
      <c r="Z70" s="30" t="s">
        <v>12</v>
      </c>
      <c r="AA70" s="34">
        <v>88.5</v>
      </c>
      <c r="AB70" s="35">
        <f t="shared" si="1"/>
        <v>104.43</v>
      </c>
      <c r="AC70" s="93">
        <f>Tabla1[[#This Row],[STOCK JUNIO ]]*Tabla1[[#This Row],[COSTO UNITARIO SIN ITBIS]]</f>
        <v>71242.5</v>
      </c>
    </row>
    <row r="71" spans="1:29" s="8" customFormat="1" x14ac:dyDescent="0.25">
      <c r="A71" s="261">
        <v>62</v>
      </c>
      <c r="B71" s="31">
        <v>43671</v>
      </c>
      <c r="C71" s="28" t="s">
        <v>11</v>
      </c>
      <c r="D71" s="31">
        <v>43671</v>
      </c>
      <c r="E71" s="137"/>
      <c r="F71" s="28">
        <v>1479</v>
      </c>
      <c r="G71" s="32" t="s">
        <v>59</v>
      </c>
      <c r="H71" s="33">
        <v>175</v>
      </c>
      <c r="I71" s="33">
        <v>20</v>
      </c>
      <c r="J71" s="33">
        <f>+'INVENTARIO ABRIL-JUNIO 2021'!$H71-'INVENTARIO ABRIL-JUNIO 2021'!$I71</f>
        <v>155</v>
      </c>
      <c r="K71" s="33"/>
      <c r="L71" s="33"/>
      <c r="M71" s="33"/>
      <c r="N71" s="33"/>
      <c r="O71" s="167"/>
      <c r="P71" s="33"/>
      <c r="Q71" s="33"/>
      <c r="R71" s="33"/>
      <c r="S71" s="33"/>
      <c r="T71" s="33"/>
      <c r="U71" s="33">
        <f>+Tabla1[[#This Row],[STOCK    FISICO ENERO 2021]]-Tabla1[[#This Row],[REQUISICIONES FEBRERO 2021]]</f>
        <v>155</v>
      </c>
      <c r="V71" s="33">
        <f>+Tabla1[[#This Row],[STOCK  FEBRERO 2021]]-Tabla1[[#This Row],[REQUISICIONES MARZO 2021]]+Tabla1[[#This Row],[ENTRADAS MARZO 2021]]</f>
        <v>155</v>
      </c>
      <c r="W71" s="33">
        <f>+Tabla1[[#This Row],[STOCK MARZO 2021]]-Tabla1[[#This Row],[REQUISICIONES ABRIL 2021]]+Tabla1[[#This Row],[ENTRADAS ABRIL 2021]]</f>
        <v>155</v>
      </c>
      <c r="X71" s="33">
        <f>+Tabla1[[#This Row],[STOCK ABRIL 2021]]-Tabla1[[#This Row],[REQUISICIONES MAYO 2021]]+Tabla1[[#This Row],[ENTRADAS MAYO 2021]]</f>
        <v>155</v>
      </c>
      <c r="Y71" s="33">
        <f>+Tabla1[[#This Row],[STOCK MAYO 2021]]-Tabla1[[#This Row],[REQUISICIONES JUNIO 2021]]+Tabla1[[#This Row],[ENTRADAS JUNIO 2021]]</f>
        <v>155</v>
      </c>
      <c r="Z71" s="30" t="s">
        <v>12</v>
      </c>
      <c r="AA71" s="34">
        <v>34.549999999999997</v>
      </c>
      <c r="AB71" s="35">
        <f t="shared" si="1"/>
        <v>40.768999999999998</v>
      </c>
      <c r="AC71" s="93">
        <f>Tabla1[[#This Row],[STOCK JUNIO ]]*Tabla1[[#This Row],[COSTO UNITARIO SIN ITBIS]]</f>
        <v>5355.25</v>
      </c>
    </row>
    <row r="72" spans="1:29" s="8" customFormat="1" x14ac:dyDescent="0.25">
      <c r="A72" s="261">
        <v>63</v>
      </c>
      <c r="B72" s="117">
        <v>44286</v>
      </c>
      <c r="C72" s="28" t="s">
        <v>11</v>
      </c>
      <c r="D72" s="117">
        <v>44286</v>
      </c>
      <c r="E72" s="138" t="s">
        <v>767</v>
      </c>
      <c r="F72" s="118"/>
      <c r="G72" s="32" t="s">
        <v>772</v>
      </c>
      <c r="H72" s="120"/>
      <c r="I72" s="120"/>
      <c r="J72" s="120">
        <f>+'INVENTARIO ABRIL-JUNIO 2021'!$H72-'INVENTARIO ABRIL-JUNIO 2021'!$I72</f>
        <v>0</v>
      </c>
      <c r="K72" s="120"/>
      <c r="L72" s="120">
        <v>75</v>
      </c>
      <c r="M72" s="120"/>
      <c r="N72" s="120"/>
      <c r="O72" s="121"/>
      <c r="P72" s="120"/>
      <c r="Q72" s="120"/>
      <c r="R72" s="120"/>
      <c r="S72" s="120"/>
      <c r="T72" s="120"/>
      <c r="U72" s="121">
        <f>+Tabla1[[#This Row],[STOCK    FISICO ENERO 2021]]-Tabla1[[#This Row],[REQUISICIONES FEBRERO 2021]]</f>
        <v>0</v>
      </c>
      <c r="V72" s="121">
        <f>+Tabla1[[#This Row],[STOCK  FEBRERO 2021]]-Tabla1[[#This Row],[REQUISICIONES MARZO 2021]]+Tabla1[[#This Row],[ENTRADAS MARZO 2021]]</f>
        <v>75</v>
      </c>
      <c r="W72" s="121">
        <f>+Tabla1[[#This Row],[STOCK MARZO 2021]]-Tabla1[[#This Row],[REQUISICIONES ABRIL 2021]]+Tabla1[[#This Row],[ENTRADAS ABRIL 2021]]</f>
        <v>75</v>
      </c>
      <c r="X72" s="121">
        <f>+Tabla1[[#This Row],[STOCK ABRIL 2021]]-Tabla1[[#This Row],[REQUISICIONES MAYO 2021]]+Tabla1[[#This Row],[ENTRADAS MAYO 2021]]</f>
        <v>75</v>
      </c>
      <c r="Y72" s="121">
        <f>+Tabla1[[#This Row],[STOCK MAYO 2021]]-Tabla1[[#This Row],[REQUISICIONES JUNIO 2021]]+Tabla1[[#This Row],[ENTRADAS JUNIO 2021]]</f>
        <v>75</v>
      </c>
      <c r="Z72" s="30" t="s">
        <v>12</v>
      </c>
      <c r="AA72" s="122">
        <v>20</v>
      </c>
      <c r="AB72" s="93">
        <f t="shared" si="1"/>
        <v>23.6</v>
      </c>
      <c r="AC72" s="93">
        <f>Tabla1[[#This Row],[STOCK JUNIO ]]*Tabla1[[#This Row],[COSTO UNITARIO SIN ITBIS]]</f>
        <v>1500</v>
      </c>
    </row>
    <row r="73" spans="1:29" s="8" customFormat="1" x14ac:dyDescent="0.25">
      <c r="A73" s="261">
        <v>64</v>
      </c>
      <c r="B73" s="31">
        <v>43671</v>
      </c>
      <c r="C73" s="28" t="s">
        <v>11</v>
      </c>
      <c r="D73" s="31">
        <v>43671</v>
      </c>
      <c r="E73" s="137"/>
      <c r="F73" s="28">
        <v>1477</v>
      </c>
      <c r="G73" s="32" t="s">
        <v>60</v>
      </c>
      <c r="H73" s="46">
        <v>2000</v>
      </c>
      <c r="I73" s="46"/>
      <c r="J73" s="46">
        <f>+'INVENTARIO ABRIL-JUNIO 2021'!$H73-'INVENTARIO ABRIL-JUNIO 2021'!$I73</f>
        <v>2000</v>
      </c>
      <c r="K73" s="46"/>
      <c r="L73" s="46"/>
      <c r="M73" s="46"/>
      <c r="N73" s="46"/>
      <c r="O73" s="167"/>
      <c r="P73" s="46"/>
      <c r="Q73" s="46"/>
      <c r="R73" s="46"/>
      <c r="S73" s="46"/>
      <c r="T73" s="46"/>
      <c r="U73" s="46">
        <f>+Tabla1[[#This Row],[STOCK    FISICO ENERO 2021]]-Tabla1[[#This Row],[REQUISICIONES FEBRERO 2021]]</f>
        <v>2000</v>
      </c>
      <c r="V73" s="46">
        <f>+Tabla1[[#This Row],[STOCK  FEBRERO 2021]]-Tabla1[[#This Row],[REQUISICIONES MARZO 2021]]+Tabla1[[#This Row],[ENTRADAS MARZO 2021]]</f>
        <v>2000</v>
      </c>
      <c r="W73" s="46">
        <f>+Tabla1[[#This Row],[STOCK MARZO 2021]]-Tabla1[[#This Row],[REQUISICIONES ABRIL 2021]]+Tabla1[[#This Row],[ENTRADAS ABRIL 2021]]</f>
        <v>2000</v>
      </c>
      <c r="X73" s="46">
        <f>+Tabla1[[#This Row],[STOCK ABRIL 2021]]-Tabla1[[#This Row],[REQUISICIONES MAYO 2021]]+Tabla1[[#This Row],[ENTRADAS MAYO 2021]]</f>
        <v>2000</v>
      </c>
      <c r="Y73" s="46">
        <f>+Tabla1[[#This Row],[STOCK MAYO 2021]]-Tabla1[[#This Row],[REQUISICIONES JUNIO 2021]]+Tabla1[[#This Row],[ENTRADAS JUNIO 2021]]</f>
        <v>2000</v>
      </c>
      <c r="Z73" s="30" t="s">
        <v>12</v>
      </c>
      <c r="AA73" s="34">
        <v>4.5999999999999996</v>
      </c>
      <c r="AB73" s="35">
        <f t="shared" si="1"/>
        <v>5.4279999999999999</v>
      </c>
      <c r="AC73" s="93">
        <f>Tabla1[[#This Row],[STOCK JUNIO ]]*Tabla1[[#This Row],[COSTO UNITARIO SIN ITBIS]]</f>
        <v>9200</v>
      </c>
    </row>
    <row r="74" spans="1:29" s="8" customFormat="1" x14ac:dyDescent="0.25">
      <c r="A74" s="261">
        <v>65</v>
      </c>
      <c r="B74" s="31">
        <v>43671</v>
      </c>
      <c r="C74" s="28" t="s">
        <v>11</v>
      </c>
      <c r="D74" s="31">
        <v>43671</v>
      </c>
      <c r="E74" s="137"/>
      <c r="F74" s="28">
        <v>1478</v>
      </c>
      <c r="G74" s="32" t="s">
        <v>61</v>
      </c>
      <c r="H74" s="33">
        <f>300+2000</f>
        <v>2300</v>
      </c>
      <c r="I74" s="33"/>
      <c r="J74" s="33">
        <f>+'INVENTARIO ABRIL-JUNIO 2021'!$H74-'INVENTARIO ABRIL-JUNIO 2021'!$I74</f>
        <v>2300</v>
      </c>
      <c r="K74" s="33"/>
      <c r="L74" s="33"/>
      <c r="M74" s="33"/>
      <c r="N74" s="33"/>
      <c r="O74" s="167"/>
      <c r="P74" s="33">
        <v>30</v>
      </c>
      <c r="Q74" s="33">
        <v>25</v>
      </c>
      <c r="R74" s="33"/>
      <c r="S74" s="33"/>
      <c r="T74" s="33">
        <f>10+100+25</f>
        <v>135</v>
      </c>
      <c r="U74" s="33">
        <f>+Tabla1[[#This Row],[STOCK    FISICO ENERO 2021]]-Tabla1[[#This Row],[REQUISICIONES FEBRERO 2021]]</f>
        <v>2270</v>
      </c>
      <c r="V74" s="33">
        <f>+Tabla1[[#This Row],[STOCK  FEBRERO 2021]]-Tabla1[[#This Row],[REQUISICIONES MARZO 2021]]+Tabla1[[#This Row],[ENTRADAS MARZO 2021]]</f>
        <v>2245</v>
      </c>
      <c r="W74" s="33">
        <f>+Tabla1[[#This Row],[STOCK MARZO 2021]]-Tabla1[[#This Row],[REQUISICIONES ABRIL 2021]]+Tabla1[[#This Row],[ENTRADAS ABRIL 2021]]</f>
        <v>2245</v>
      </c>
      <c r="X74" s="33">
        <f>+Tabla1[[#This Row],[STOCK ABRIL 2021]]-Tabla1[[#This Row],[REQUISICIONES MAYO 2021]]+Tabla1[[#This Row],[ENTRADAS MAYO 2021]]</f>
        <v>2245</v>
      </c>
      <c r="Y74" s="33">
        <f>+Tabla1[[#This Row],[STOCK MAYO 2021]]-Tabla1[[#This Row],[REQUISICIONES JUNIO 2021]]+Tabla1[[#This Row],[ENTRADAS JUNIO 2021]]</f>
        <v>2110</v>
      </c>
      <c r="Z74" s="30" t="s">
        <v>12</v>
      </c>
      <c r="AA74" s="34">
        <v>4.5999999999999996</v>
      </c>
      <c r="AB74" s="35">
        <f t="shared" si="1"/>
        <v>5.4279999999999999</v>
      </c>
      <c r="AC74" s="93">
        <f>Tabla1[[#This Row],[STOCK JUNIO ]]*Tabla1[[#This Row],[COSTO UNITARIO SIN ITBIS]]</f>
        <v>9706</v>
      </c>
    </row>
    <row r="75" spans="1:29" s="8" customFormat="1" x14ac:dyDescent="0.25">
      <c r="A75" s="261">
        <v>66</v>
      </c>
      <c r="B75" s="31"/>
      <c r="C75" s="28" t="s">
        <v>11</v>
      </c>
      <c r="D75" s="31"/>
      <c r="E75" s="137"/>
      <c r="F75" s="129"/>
      <c r="G75" s="32" t="s">
        <v>822</v>
      </c>
      <c r="H75" s="63"/>
      <c r="I75" s="63"/>
      <c r="J75" s="63">
        <f>+'INVENTARIO ABRIL-JUNIO 2021'!$H75-'INVENTARIO ABRIL-JUNIO 2021'!$I75+2175</f>
        <v>2175</v>
      </c>
      <c r="K75" s="63"/>
      <c r="L75" s="63"/>
      <c r="M75" s="63"/>
      <c r="N75" s="63"/>
      <c r="O75" s="125"/>
      <c r="P75" s="63"/>
      <c r="Q75" s="63">
        <f>10+10</f>
        <v>20</v>
      </c>
      <c r="R75" s="63">
        <f>100+75</f>
        <v>175</v>
      </c>
      <c r="S75" s="63"/>
      <c r="T75" s="63"/>
      <c r="U75" s="125">
        <f>+Tabla1[[#This Row],[STOCK    FISICO ENERO 2021]]-Tabla1[[#This Row],[REQUISICIONES FEBRERO 2021]]</f>
        <v>2175</v>
      </c>
      <c r="V75" s="125">
        <f>+Tabla1[[#This Row],[STOCK  FEBRERO 2021]]-Tabla1[[#This Row],[REQUISICIONES MARZO 2021]]+Tabla1[[#This Row],[ENTRADAS MARZO 2021]]</f>
        <v>2155</v>
      </c>
      <c r="W75" s="167">
        <f>+Tabla1[[#This Row],[STOCK MARZO 2021]]-Tabla1[[#This Row],[REQUISICIONES ABRIL 2021]]+Tabla1[[#This Row],[ENTRADAS ABRIL 2021]]</f>
        <v>1980</v>
      </c>
      <c r="X75" s="167">
        <f>+Tabla1[[#This Row],[STOCK ABRIL 2021]]-Tabla1[[#This Row],[REQUISICIONES MAYO 2021]]+Tabla1[[#This Row],[ENTRADAS MAYO 2021]]</f>
        <v>1980</v>
      </c>
      <c r="Y75" s="167">
        <f>+Tabla1[[#This Row],[STOCK MAYO 2021]]-Tabla1[[#This Row],[REQUISICIONES JUNIO 2021]]+Tabla1[[#This Row],[ENTRADAS JUNIO 2021]]</f>
        <v>1980</v>
      </c>
      <c r="Z75" s="30" t="s">
        <v>12</v>
      </c>
      <c r="AA75" s="34">
        <v>0</v>
      </c>
      <c r="AB75" s="35">
        <v>0</v>
      </c>
      <c r="AC75" s="93">
        <f>Tabla1[[#This Row],[STOCK JUNIO ]]*Tabla1[[#This Row],[COSTO UNITARIO SIN ITBIS]]</f>
        <v>0</v>
      </c>
    </row>
    <row r="76" spans="1:29" s="8" customFormat="1" x14ac:dyDescent="0.25">
      <c r="A76" s="261">
        <v>67</v>
      </c>
      <c r="B76" s="42">
        <v>43440</v>
      </c>
      <c r="C76" s="41" t="s">
        <v>11</v>
      </c>
      <c r="D76" s="42">
        <v>43440</v>
      </c>
      <c r="E76" s="139"/>
      <c r="F76" s="43">
        <v>1091</v>
      </c>
      <c r="G76" s="40" t="s">
        <v>62</v>
      </c>
      <c r="H76" s="40">
        <v>74</v>
      </c>
      <c r="I76" s="40"/>
      <c r="J76" s="40">
        <f>+'INVENTARIO ABRIL-JUNIO 2021'!$H76-'INVENTARIO ABRIL-JUNIO 2021'!$I76</f>
        <v>74</v>
      </c>
      <c r="K76" s="40"/>
      <c r="L76" s="40"/>
      <c r="M76" s="40"/>
      <c r="N76" s="40"/>
      <c r="O76" s="168"/>
      <c r="P76" s="40">
        <v>2</v>
      </c>
      <c r="Q76" s="40">
        <v>1</v>
      </c>
      <c r="R76" s="40">
        <f>1+2+3</f>
        <v>6</v>
      </c>
      <c r="S76" s="40">
        <f>2+3</f>
        <v>5</v>
      </c>
      <c r="T76" s="40">
        <f>2+1</f>
        <v>3</v>
      </c>
      <c r="U76" s="40">
        <f>+Tabla1[[#This Row],[STOCK    FISICO ENERO 2021]]-Tabla1[[#This Row],[REQUISICIONES FEBRERO 2021]]</f>
        <v>72</v>
      </c>
      <c r="V76" s="40">
        <f>+Tabla1[[#This Row],[STOCK  FEBRERO 2021]]-Tabla1[[#This Row],[REQUISICIONES MARZO 2021]]+Tabla1[[#This Row],[ENTRADAS MARZO 2021]]</f>
        <v>71</v>
      </c>
      <c r="W76" s="40">
        <f>+Tabla1[[#This Row],[STOCK MARZO 2021]]-Tabla1[[#This Row],[REQUISICIONES ABRIL 2021]]+Tabla1[[#This Row],[ENTRADAS ABRIL 2021]]</f>
        <v>65</v>
      </c>
      <c r="X76" s="40">
        <f>+Tabla1[[#This Row],[STOCK ABRIL 2021]]-Tabla1[[#This Row],[REQUISICIONES MAYO 2021]]+Tabla1[[#This Row],[ENTRADAS MAYO 2021]]</f>
        <v>60</v>
      </c>
      <c r="Y76" s="40">
        <f>+Tabla1[[#This Row],[STOCK MAYO 2021]]-Tabla1[[#This Row],[REQUISICIONES JUNIO 2021]]+Tabla1[[#This Row],[ENTRADAS JUNIO 2021]]</f>
        <v>57</v>
      </c>
      <c r="Z76" s="30" t="s">
        <v>12</v>
      </c>
      <c r="AA76" s="45">
        <v>73.16</v>
      </c>
      <c r="AB76" s="35">
        <f t="shared" si="1"/>
        <v>86.328800000000001</v>
      </c>
      <c r="AC76" s="93">
        <f>Tabla1[[#This Row],[STOCK JUNIO ]]*Tabla1[[#This Row],[COSTO UNITARIO SIN ITBIS]]</f>
        <v>4170.12</v>
      </c>
    </row>
    <row r="77" spans="1:29" s="8" customFormat="1" x14ac:dyDescent="0.25">
      <c r="A77" s="261">
        <v>68</v>
      </c>
      <c r="B77" s="117">
        <v>44285</v>
      </c>
      <c r="C77" s="41" t="s">
        <v>11</v>
      </c>
      <c r="D77" s="117">
        <v>44285</v>
      </c>
      <c r="E77" s="138" t="s">
        <v>739</v>
      </c>
      <c r="F77" s="118"/>
      <c r="G77" s="40" t="s">
        <v>62</v>
      </c>
      <c r="H77" s="120"/>
      <c r="I77" s="120"/>
      <c r="J77" s="120">
        <f>+'INVENTARIO ABRIL-JUNIO 2021'!$H77-'INVENTARIO ABRIL-JUNIO 2021'!$I77</f>
        <v>0</v>
      </c>
      <c r="K77" s="120"/>
      <c r="L77" s="120">
        <f>26*50</f>
        <v>1300</v>
      </c>
      <c r="M77" s="120"/>
      <c r="N77" s="120"/>
      <c r="O77" s="121"/>
      <c r="P77" s="120"/>
      <c r="Q77" s="120"/>
      <c r="R77" s="120"/>
      <c r="S77" s="120"/>
      <c r="T77" s="120"/>
      <c r="U77" s="121">
        <f>+Tabla1[[#This Row],[STOCK    FISICO ENERO 2021]]-Tabla1[[#This Row],[REQUISICIONES FEBRERO 2021]]</f>
        <v>0</v>
      </c>
      <c r="V77" s="121">
        <f>+Tabla1[[#This Row],[STOCK  FEBRERO 2021]]-Tabla1[[#This Row],[REQUISICIONES MARZO 2021]]+Tabla1[[#This Row],[ENTRADAS MARZO 2021]]</f>
        <v>1300</v>
      </c>
      <c r="W77" s="121">
        <f>+Tabla1[[#This Row],[STOCK MARZO 2021]]-Tabla1[[#This Row],[REQUISICIONES ABRIL 2021]]+Tabla1[[#This Row],[ENTRADAS ABRIL 2021]]</f>
        <v>1300</v>
      </c>
      <c r="X77" s="121">
        <f>+Tabla1[[#This Row],[STOCK ABRIL 2021]]-Tabla1[[#This Row],[REQUISICIONES MAYO 2021]]+Tabla1[[#This Row],[ENTRADAS MAYO 2021]]</f>
        <v>1300</v>
      </c>
      <c r="Y77" s="121">
        <f>+Tabla1[[#This Row],[STOCK MAYO 2021]]-Tabla1[[#This Row],[REQUISICIONES JUNIO 2021]]+Tabla1[[#This Row],[ENTRADAS JUNIO 2021]]</f>
        <v>1300</v>
      </c>
      <c r="Z77" s="30" t="s">
        <v>12</v>
      </c>
      <c r="AA77" s="122">
        <f>46.5/50</f>
        <v>0.93</v>
      </c>
      <c r="AB77" s="93">
        <f t="shared" si="1"/>
        <v>1.0973999999999999</v>
      </c>
      <c r="AC77" s="93">
        <f>Tabla1[[#This Row],[STOCK JUNIO ]]*Tabla1[[#This Row],[COSTO UNITARIO SIN ITBIS]]</f>
        <v>1209</v>
      </c>
    </row>
    <row r="78" spans="1:29" s="11" customFormat="1" x14ac:dyDescent="0.25">
      <c r="A78" s="261">
        <v>69</v>
      </c>
      <c r="B78" s="42">
        <v>43671</v>
      </c>
      <c r="C78" s="41" t="s">
        <v>11</v>
      </c>
      <c r="D78" s="42">
        <v>43671</v>
      </c>
      <c r="E78" s="139"/>
      <c r="F78" s="43">
        <v>1094</v>
      </c>
      <c r="G78" s="40" t="s">
        <v>63</v>
      </c>
      <c r="H78" s="40">
        <v>33</v>
      </c>
      <c r="I78" s="40">
        <f>1+2</f>
        <v>3</v>
      </c>
      <c r="J78" s="40">
        <f>+'INVENTARIO ABRIL-JUNIO 2021'!$H78-'INVENTARIO ABRIL-JUNIO 2021'!$I78</f>
        <v>30</v>
      </c>
      <c r="K78" s="40"/>
      <c r="L78" s="40"/>
      <c r="M78" s="40"/>
      <c r="N78" s="40"/>
      <c r="O78" s="168"/>
      <c r="P78" s="40">
        <f>2+1+2+1+2+3+1+1+2+2</f>
        <v>17</v>
      </c>
      <c r="Q78" s="40">
        <f>1+1+1+3+1+1+1+1+1+1</f>
        <v>12</v>
      </c>
      <c r="R78" s="40">
        <v>1</v>
      </c>
      <c r="S78" s="40"/>
      <c r="T78" s="40"/>
      <c r="U78" s="40">
        <f>+Tabla1[[#This Row],[STOCK    FISICO ENERO 2021]]-Tabla1[[#This Row],[REQUISICIONES FEBRERO 2021]]</f>
        <v>13</v>
      </c>
      <c r="V78" s="40">
        <f>+Tabla1[[#This Row],[STOCK  FEBRERO 2021]]-Tabla1[[#This Row],[REQUISICIONES MARZO 2021]]+Tabla1[[#This Row],[ENTRADAS MARZO 2021]]</f>
        <v>1</v>
      </c>
      <c r="W78" s="40">
        <f>+Tabla1[[#This Row],[STOCK MARZO 2021]]-Tabla1[[#This Row],[REQUISICIONES ABRIL 2021]]+Tabla1[[#This Row],[ENTRADAS ABRIL 2021]]</f>
        <v>0</v>
      </c>
      <c r="X78" s="40">
        <f>+Tabla1[[#This Row],[STOCK ABRIL 2021]]-Tabla1[[#This Row],[REQUISICIONES MAYO 2021]]+Tabla1[[#This Row],[ENTRADAS MAYO 2021]]</f>
        <v>0</v>
      </c>
      <c r="Y78" s="40">
        <f>+Tabla1[[#This Row],[STOCK MAYO 2021]]-Tabla1[[#This Row],[REQUISICIONES JUNIO 2021]]+Tabla1[[#This Row],[ENTRADAS JUNIO 2021]]</f>
        <v>0</v>
      </c>
      <c r="Z78" s="40" t="s">
        <v>34</v>
      </c>
      <c r="AA78" s="45">
        <v>18.29</v>
      </c>
      <c r="AB78" s="35">
        <f t="shared" si="1"/>
        <v>21.5822</v>
      </c>
      <c r="AC78" s="93">
        <f>Tabla1[[#This Row],[STOCK JUNIO ]]*Tabla1[[#This Row],[COSTO UNITARIO SIN ITBIS]]</f>
        <v>0</v>
      </c>
    </row>
    <row r="79" spans="1:29" s="8" customFormat="1" x14ac:dyDescent="0.25">
      <c r="A79" s="261">
        <v>70</v>
      </c>
      <c r="B79" s="117">
        <v>44286</v>
      </c>
      <c r="C79" s="41" t="s">
        <v>11</v>
      </c>
      <c r="D79" s="117">
        <v>44286</v>
      </c>
      <c r="E79" s="138" t="s">
        <v>755</v>
      </c>
      <c r="F79" s="118"/>
      <c r="G79" s="40" t="s">
        <v>63</v>
      </c>
      <c r="H79" s="120"/>
      <c r="I79" s="120"/>
      <c r="J79" s="120">
        <f>+'INVENTARIO ABRIL-JUNIO 2021'!$H79-'INVENTARIO ABRIL-JUNIO 2021'!$I79</f>
        <v>0</v>
      </c>
      <c r="K79" s="120"/>
      <c r="L79" s="120">
        <v>70</v>
      </c>
      <c r="M79" s="120"/>
      <c r="N79" s="120"/>
      <c r="O79" s="121"/>
      <c r="P79" s="120"/>
      <c r="Q79" s="120"/>
      <c r="R79" s="120">
        <f>1+1+1+4+4+2+1+1+2+2+2</f>
        <v>21</v>
      </c>
      <c r="S79" s="120">
        <f>3+1+1+2+1+1+1+1+1+1+2</f>
        <v>15</v>
      </c>
      <c r="T79" s="120">
        <f>3+2+1+1+4+5+2+1</f>
        <v>19</v>
      </c>
      <c r="U79" s="121">
        <f>+Tabla1[[#This Row],[STOCK    FISICO ENERO 2021]]-Tabla1[[#This Row],[REQUISICIONES FEBRERO 2021]]</f>
        <v>0</v>
      </c>
      <c r="V79" s="121">
        <f>+Tabla1[[#This Row],[STOCK  FEBRERO 2021]]-Tabla1[[#This Row],[REQUISICIONES MARZO 2021]]+Tabla1[[#This Row],[ENTRADAS MARZO 2021]]</f>
        <v>70</v>
      </c>
      <c r="W79" s="121">
        <f>+Tabla1[[#This Row],[STOCK MARZO 2021]]-Tabla1[[#This Row],[REQUISICIONES ABRIL 2021]]+Tabla1[[#This Row],[ENTRADAS ABRIL 2021]]</f>
        <v>49</v>
      </c>
      <c r="X79" s="121">
        <f>+Tabla1[[#This Row],[STOCK ABRIL 2021]]-Tabla1[[#This Row],[REQUISICIONES MAYO 2021]]+Tabla1[[#This Row],[ENTRADAS MAYO 2021]]</f>
        <v>34</v>
      </c>
      <c r="Y79" s="121">
        <f>+Tabla1[[#This Row],[STOCK MAYO 2021]]-Tabla1[[#This Row],[REQUISICIONES JUNIO 2021]]+Tabla1[[#This Row],[ENTRADAS JUNIO 2021]]</f>
        <v>15</v>
      </c>
      <c r="Z79" s="40" t="s">
        <v>34</v>
      </c>
      <c r="AA79" s="122">
        <v>16.16</v>
      </c>
      <c r="AB79" s="93">
        <f t="shared" si="1"/>
        <v>19.0688</v>
      </c>
      <c r="AC79" s="93">
        <f>Tabla1[[#This Row],[STOCK JUNIO ]]*Tabla1[[#This Row],[COSTO UNITARIO SIN ITBIS]]</f>
        <v>242.4</v>
      </c>
    </row>
    <row r="80" spans="1:29" s="8" customFormat="1" x14ac:dyDescent="0.25">
      <c r="A80" s="261">
        <v>71</v>
      </c>
      <c r="B80" s="42">
        <v>43440</v>
      </c>
      <c r="C80" s="41" t="s">
        <v>11</v>
      </c>
      <c r="D80" s="42">
        <v>43440</v>
      </c>
      <c r="E80" s="139"/>
      <c r="F80" s="43">
        <v>1092</v>
      </c>
      <c r="G80" s="40" t="s">
        <v>64</v>
      </c>
      <c r="H80" s="40">
        <v>170</v>
      </c>
      <c r="I80" s="40">
        <v>2</v>
      </c>
      <c r="J80" s="40">
        <f>+'INVENTARIO ABRIL-JUNIO 2021'!$H80-'INVENTARIO ABRIL-JUNIO 2021'!$I80</f>
        <v>168</v>
      </c>
      <c r="K80" s="40"/>
      <c r="L80" s="40"/>
      <c r="M80" s="40"/>
      <c r="N80" s="40"/>
      <c r="O80" s="168"/>
      <c r="P80" s="40"/>
      <c r="Q80" s="40">
        <v>1</v>
      </c>
      <c r="R80" s="40">
        <v>1</v>
      </c>
      <c r="S80" s="40">
        <v>3</v>
      </c>
      <c r="T80" s="40">
        <v>1</v>
      </c>
      <c r="U80" s="40">
        <f>+Tabla1[[#This Row],[STOCK    FISICO ENERO 2021]]-Tabla1[[#This Row],[REQUISICIONES FEBRERO 2021]]</f>
        <v>168</v>
      </c>
      <c r="V80" s="40">
        <f>+Tabla1[[#This Row],[STOCK  FEBRERO 2021]]-Tabla1[[#This Row],[REQUISICIONES MARZO 2021]]+Tabla1[[#This Row],[ENTRADAS MARZO 2021]]</f>
        <v>167</v>
      </c>
      <c r="W80" s="40">
        <f>+Tabla1[[#This Row],[STOCK MARZO 2021]]-Tabla1[[#This Row],[REQUISICIONES ABRIL 2021]]+Tabla1[[#This Row],[ENTRADAS ABRIL 2021]]</f>
        <v>166</v>
      </c>
      <c r="X80" s="40">
        <f>+Tabla1[[#This Row],[STOCK ABRIL 2021]]-Tabla1[[#This Row],[REQUISICIONES MAYO 2021]]+Tabla1[[#This Row],[ENTRADAS MAYO 2021]]</f>
        <v>163</v>
      </c>
      <c r="Y80" s="40">
        <f>+Tabla1[[#This Row],[STOCK MAYO 2021]]-Tabla1[[#This Row],[REQUISICIONES JUNIO 2021]]+Tabla1[[#This Row],[ENTRADAS JUNIO 2021]]</f>
        <v>162</v>
      </c>
      <c r="Z80" s="40" t="s">
        <v>34</v>
      </c>
      <c r="AA80" s="45">
        <v>46.02</v>
      </c>
      <c r="AB80" s="35">
        <f t="shared" si="1"/>
        <v>54.303600000000003</v>
      </c>
      <c r="AC80" s="93">
        <f>Tabla1[[#This Row],[STOCK JUNIO ]]*Tabla1[[#This Row],[COSTO UNITARIO SIN ITBIS]]</f>
        <v>7455.2400000000007</v>
      </c>
    </row>
    <row r="81" spans="1:29" s="8" customFormat="1" x14ac:dyDescent="0.25">
      <c r="A81" s="261">
        <v>72</v>
      </c>
      <c r="B81" s="42">
        <v>43440</v>
      </c>
      <c r="C81" s="41" t="s">
        <v>11</v>
      </c>
      <c r="D81" s="42">
        <v>43440</v>
      </c>
      <c r="E81" s="139"/>
      <c r="F81" s="43">
        <v>1093</v>
      </c>
      <c r="G81" s="40" t="s">
        <v>65</v>
      </c>
      <c r="H81" s="40">
        <v>159</v>
      </c>
      <c r="I81" s="40">
        <f>2+1+1</f>
        <v>4</v>
      </c>
      <c r="J81" s="40">
        <f>+'INVENTARIO ABRIL-JUNIO 2021'!$H81-'INVENTARIO ABRIL-JUNIO 2021'!$I81</f>
        <v>155</v>
      </c>
      <c r="K81" s="40"/>
      <c r="L81" s="40"/>
      <c r="M81" s="40"/>
      <c r="N81" s="40"/>
      <c r="O81" s="168"/>
      <c r="P81" s="40">
        <f>1+1+1+1+2+1+1+2</f>
        <v>10</v>
      </c>
      <c r="Q81" s="40">
        <f>1+1+1+2+1+2+1</f>
        <v>9</v>
      </c>
      <c r="R81" s="40">
        <f>2+2+2+1+2+1+2+1+2+3+1</f>
        <v>19</v>
      </c>
      <c r="S81" s="40">
        <f>2+2+1+1+2+1+1+2+3</f>
        <v>15</v>
      </c>
      <c r="T81" s="40">
        <f>2+2+1+2+1+2+1+1+3</f>
        <v>15</v>
      </c>
      <c r="U81" s="40">
        <f>+Tabla1[[#This Row],[STOCK    FISICO ENERO 2021]]-Tabla1[[#This Row],[REQUISICIONES FEBRERO 2021]]</f>
        <v>145</v>
      </c>
      <c r="V81" s="40">
        <f>+Tabla1[[#This Row],[STOCK  FEBRERO 2021]]-Tabla1[[#This Row],[REQUISICIONES MARZO 2021]]+Tabla1[[#This Row],[ENTRADAS MARZO 2021]]</f>
        <v>136</v>
      </c>
      <c r="W81" s="40">
        <f>+Tabla1[[#This Row],[STOCK MARZO 2021]]-Tabla1[[#This Row],[REQUISICIONES ABRIL 2021]]+Tabla1[[#This Row],[ENTRADAS ABRIL 2021]]</f>
        <v>117</v>
      </c>
      <c r="X81" s="40">
        <f>+Tabla1[[#This Row],[STOCK ABRIL 2021]]-Tabla1[[#This Row],[REQUISICIONES MAYO 2021]]+Tabla1[[#This Row],[ENTRADAS MAYO 2021]]</f>
        <v>102</v>
      </c>
      <c r="Y81" s="40">
        <f>+Tabla1[[#This Row],[STOCK MAYO 2021]]-Tabla1[[#This Row],[REQUISICIONES JUNIO 2021]]+Tabla1[[#This Row],[ENTRADAS JUNIO 2021]]</f>
        <v>87</v>
      </c>
      <c r="Z81" s="40" t="s">
        <v>34</v>
      </c>
      <c r="AA81" s="45">
        <v>27.61</v>
      </c>
      <c r="AB81" s="35">
        <f t="shared" si="1"/>
        <v>32.579799999999999</v>
      </c>
      <c r="AC81" s="93">
        <f>Tabla1[[#This Row],[STOCK JUNIO ]]*Tabla1[[#This Row],[COSTO UNITARIO SIN ITBIS]]</f>
        <v>2402.0700000000002</v>
      </c>
    </row>
    <row r="82" spans="1:29" s="8" customFormat="1" x14ac:dyDescent="0.25">
      <c r="A82" s="261">
        <v>73</v>
      </c>
      <c r="B82" s="117">
        <v>44285</v>
      </c>
      <c r="C82" s="41" t="s">
        <v>11</v>
      </c>
      <c r="D82" s="117">
        <v>44285</v>
      </c>
      <c r="E82" s="138" t="s">
        <v>739</v>
      </c>
      <c r="F82" s="118"/>
      <c r="G82" s="119" t="s">
        <v>743</v>
      </c>
      <c r="H82" s="120"/>
      <c r="I82" s="120"/>
      <c r="J82" s="120">
        <f>+'INVENTARIO ABRIL-JUNIO 2021'!$H82-'INVENTARIO ABRIL-JUNIO 2021'!$I82</f>
        <v>0</v>
      </c>
      <c r="K82" s="120"/>
      <c r="L82" s="120">
        <v>100</v>
      </c>
      <c r="M82" s="120"/>
      <c r="N82" s="120"/>
      <c r="O82" s="121"/>
      <c r="P82" s="120"/>
      <c r="Q82" s="120"/>
      <c r="R82" s="120"/>
      <c r="S82" s="120"/>
      <c r="T82" s="120"/>
      <c r="U82" s="121">
        <f>+Tabla1[[#This Row],[STOCK    FISICO ENERO 2021]]-Tabla1[[#This Row],[REQUISICIONES FEBRERO 2021]]</f>
        <v>0</v>
      </c>
      <c r="V82" s="121">
        <f>+Tabla1[[#This Row],[STOCK  FEBRERO 2021]]-Tabla1[[#This Row],[REQUISICIONES MARZO 2021]]+Tabla1[[#This Row],[ENTRADAS MARZO 2021]]</f>
        <v>100</v>
      </c>
      <c r="W82" s="121">
        <f>+Tabla1[[#This Row],[STOCK MARZO 2021]]-Tabla1[[#This Row],[REQUISICIONES ABRIL 2021]]+Tabla1[[#This Row],[ENTRADAS ABRIL 2021]]</f>
        <v>100</v>
      </c>
      <c r="X82" s="121">
        <f>+Tabla1[[#This Row],[STOCK ABRIL 2021]]-Tabla1[[#This Row],[REQUISICIONES MAYO 2021]]+Tabla1[[#This Row],[ENTRADAS MAYO 2021]]</f>
        <v>100</v>
      </c>
      <c r="Y82" s="121">
        <f>+Tabla1[[#This Row],[STOCK MAYO 2021]]-Tabla1[[#This Row],[REQUISICIONES JUNIO 2021]]+Tabla1[[#This Row],[ENTRADAS JUNIO 2021]]</f>
        <v>100</v>
      </c>
      <c r="Z82" s="40" t="s">
        <v>34</v>
      </c>
      <c r="AA82" s="122">
        <v>25</v>
      </c>
      <c r="AB82" s="93">
        <f t="shared" si="1"/>
        <v>29.5</v>
      </c>
      <c r="AC82" s="93">
        <f>Tabla1[[#This Row],[STOCK JUNIO ]]*Tabla1[[#This Row],[COSTO UNITARIO SIN ITBIS]]</f>
        <v>2500</v>
      </c>
    </row>
    <row r="83" spans="1:29" s="11" customFormat="1" x14ac:dyDescent="0.25">
      <c r="A83" s="261">
        <v>74</v>
      </c>
      <c r="B83" s="31">
        <v>43671</v>
      </c>
      <c r="C83" s="28" t="s">
        <v>11</v>
      </c>
      <c r="D83" s="31">
        <v>44055</v>
      </c>
      <c r="E83" s="137"/>
      <c r="F83" s="28">
        <v>1386</v>
      </c>
      <c r="G83" s="32" t="s">
        <v>66</v>
      </c>
      <c r="H83" s="46">
        <v>16</v>
      </c>
      <c r="I83" s="46">
        <f>1+1+1</f>
        <v>3</v>
      </c>
      <c r="J83" s="46">
        <f>+'INVENTARIO ABRIL-JUNIO 2021'!$H83-'INVENTARIO ABRIL-JUNIO 2021'!$I83</f>
        <v>13</v>
      </c>
      <c r="K83" s="46"/>
      <c r="L83" s="46"/>
      <c r="M83" s="46"/>
      <c r="N83" s="46"/>
      <c r="O83" s="167"/>
      <c r="P83" s="46">
        <f>1+1+1+1+1+1+1+3+1+1+1</f>
        <v>13</v>
      </c>
      <c r="Q83" s="46"/>
      <c r="R83" s="46"/>
      <c r="S83" s="46"/>
      <c r="T83" s="46"/>
      <c r="U83" s="46">
        <f>+Tabla1[[#This Row],[STOCK    FISICO ENERO 2021]]-Tabla1[[#This Row],[REQUISICIONES FEBRERO 2021]]</f>
        <v>0</v>
      </c>
      <c r="V83" s="46">
        <f>+Tabla1[[#This Row],[STOCK  FEBRERO 2021]]-Tabla1[[#This Row],[REQUISICIONES MARZO 2021]]+Tabla1[[#This Row],[ENTRADAS MARZO 2021]]</f>
        <v>0</v>
      </c>
      <c r="W83" s="46">
        <f>+Tabla1[[#This Row],[STOCK MARZO 2021]]-Tabla1[[#This Row],[REQUISICIONES ABRIL 2021]]+Tabla1[[#This Row],[ENTRADAS ABRIL 2021]]</f>
        <v>0</v>
      </c>
      <c r="X83" s="46">
        <f>+Tabla1[[#This Row],[STOCK ABRIL 2021]]-Tabla1[[#This Row],[REQUISICIONES MAYO 2021]]+Tabla1[[#This Row],[ENTRADAS MAYO 2021]]</f>
        <v>0</v>
      </c>
      <c r="Y83" s="46">
        <f>+Tabla1[[#This Row],[STOCK MAYO 2021]]-Tabla1[[#This Row],[REQUISICIONES JUNIO 2021]]+Tabla1[[#This Row],[ENTRADAS JUNIO 2021]]</f>
        <v>0</v>
      </c>
      <c r="Z83" s="30" t="s">
        <v>12</v>
      </c>
      <c r="AA83" s="34">
        <v>430</v>
      </c>
      <c r="AB83" s="35">
        <f t="shared" si="1"/>
        <v>507.4</v>
      </c>
      <c r="AC83" s="93">
        <f>Tabla1[[#This Row],[STOCK JUNIO ]]*Tabla1[[#This Row],[COSTO UNITARIO SIN ITBIS]]</f>
        <v>0</v>
      </c>
    </row>
    <row r="84" spans="1:29" s="8" customFormat="1" x14ac:dyDescent="0.25">
      <c r="A84" s="261">
        <v>75</v>
      </c>
      <c r="B84" s="117">
        <v>44284</v>
      </c>
      <c r="C84" s="28" t="s">
        <v>11</v>
      </c>
      <c r="D84" s="117">
        <v>44281</v>
      </c>
      <c r="E84" s="138" t="s">
        <v>774</v>
      </c>
      <c r="F84" s="118"/>
      <c r="G84" s="32" t="s">
        <v>735</v>
      </c>
      <c r="H84" s="126"/>
      <c r="I84" s="126"/>
      <c r="J84" s="120">
        <f>+'INVENTARIO ABRIL-JUNIO 2021'!$H84-'INVENTARIO ABRIL-JUNIO 2021'!$I84</f>
        <v>0</v>
      </c>
      <c r="K84" s="126"/>
      <c r="L84" s="126">
        <v>70</v>
      </c>
      <c r="M84" s="126"/>
      <c r="N84" s="126"/>
      <c r="O84" s="121"/>
      <c r="P84" s="126"/>
      <c r="Q84" s="126">
        <f>1+2+1+1</f>
        <v>5</v>
      </c>
      <c r="R84" s="126">
        <f>1+1+1+2+1+1+3+1+1+2+2+1+1</f>
        <v>18</v>
      </c>
      <c r="S84" s="126">
        <f>2+1+1+1+1+1+1+1+1+1+1+4</f>
        <v>16</v>
      </c>
      <c r="T84" s="126">
        <f>1+2+2+2+1+1+1+1+1+2</f>
        <v>14</v>
      </c>
      <c r="U84" s="121">
        <f>+Tabla1[[#This Row],[STOCK    FISICO ENERO 2021]]-Tabla1[[#This Row],[REQUISICIONES FEBRERO 2021]]</f>
        <v>0</v>
      </c>
      <c r="V84" s="121">
        <f>+Tabla1[[#This Row],[STOCK  FEBRERO 2021]]-Tabla1[[#This Row],[REQUISICIONES MARZO 2021]]+Tabla1[[#This Row],[ENTRADAS MARZO 2021]]</f>
        <v>65</v>
      </c>
      <c r="W84" s="121">
        <f>+Tabla1[[#This Row],[STOCK MARZO 2021]]-Tabla1[[#This Row],[REQUISICIONES ABRIL 2021]]+Tabla1[[#This Row],[ENTRADAS ABRIL 2021]]</f>
        <v>47</v>
      </c>
      <c r="X84" s="121">
        <f>+Tabla1[[#This Row],[STOCK ABRIL 2021]]-Tabla1[[#This Row],[REQUISICIONES MAYO 2021]]+Tabla1[[#This Row],[ENTRADAS MAYO 2021]]</f>
        <v>31</v>
      </c>
      <c r="Y84" s="121">
        <f>+Tabla1[[#This Row],[STOCK MAYO 2021]]-Tabla1[[#This Row],[REQUISICIONES JUNIO 2021]]+Tabla1[[#This Row],[ENTRADAS JUNIO 2021]]</f>
        <v>17</v>
      </c>
      <c r="Z84" s="30" t="s">
        <v>12</v>
      </c>
      <c r="AA84" s="122">
        <v>160</v>
      </c>
      <c r="AB84" s="35">
        <f t="shared" si="1"/>
        <v>188.8</v>
      </c>
      <c r="AC84" s="93">
        <f>Tabla1[[#This Row],[STOCK JUNIO ]]*Tabla1[[#This Row],[COSTO UNITARIO SIN ITBIS]]</f>
        <v>2720</v>
      </c>
    </row>
    <row r="85" spans="1:29" s="8" customFormat="1" x14ac:dyDescent="0.25">
      <c r="A85" s="261">
        <v>76</v>
      </c>
      <c r="B85" s="31">
        <v>43440</v>
      </c>
      <c r="C85" s="28" t="s">
        <v>11</v>
      </c>
      <c r="D85" s="31">
        <v>43440</v>
      </c>
      <c r="E85" s="137"/>
      <c r="F85" s="28">
        <v>1408</v>
      </c>
      <c r="G85" s="32" t="s">
        <v>67</v>
      </c>
      <c r="H85" s="33">
        <v>22</v>
      </c>
      <c r="I85" s="33"/>
      <c r="J85" s="33">
        <f>+'INVENTARIO ABRIL-JUNIO 2021'!$H85-'INVENTARIO ABRIL-JUNIO 2021'!$I85</f>
        <v>22</v>
      </c>
      <c r="K85" s="33"/>
      <c r="L85" s="33"/>
      <c r="M85" s="33"/>
      <c r="N85" s="33"/>
      <c r="O85" s="167"/>
      <c r="P85" s="33"/>
      <c r="Q85" s="33">
        <f>1+1</f>
        <v>2</v>
      </c>
      <c r="R85" s="33"/>
      <c r="S85" s="33"/>
      <c r="T85" s="33"/>
      <c r="U85" s="33">
        <f>+Tabla1[[#This Row],[STOCK    FISICO ENERO 2021]]-Tabla1[[#This Row],[REQUISICIONES FEBRERO 2021]]</f>
        <v>22</v>
      </c>
      <c r="V85" s="33">
        <f>+Tabla1[[#This Row],[STOCK  FEBRERO 2021]]-Tabla1[[#This Row],[REQUISICIONES MARZO 2021]]+Tabla1[[#This Row],[ENTRADAS MARZO 2021]]</f>
        <v>20</v>
      </c>
      <c r="W85" s="33">
        <f>+Tabla1[[#This Row],[STOCK MARZO 2021]]-Tabla1[[#This Row],[REQUISICIONES ABRIL 2021]]+Tabla1[[#This Row],[ENTRADAS ABRIL 2021]]</f>
        <v>20</v>
      </c>
      <c r="X85" s="33">
        <f>+Tabla1[[#This Row],[STOCK ABRIL 2021]]-Tabla1[[#This Row],[REQUISICIONES MAYO 2021]]+Tabla1[[#This Row],[ENTRADAS MAYO 2021]]</f>
        <v>20</v>
      </c>
      <c r="Y85" s="33">
        <f>+Tabla1[[#This Row],[STOCK MAYO 2021]]-Tabla1[[#This Row],[REQUISICIONES JUNIO 2021]]+Tabla1[[#This Row],[ENTRADAS JUNIO 2021]]</f>
        <v>20</v>
      </c>
      <c r="Z85" s="30" t="s">
        <v>12</v>
      </c>
      <c r="AA85" s="34">
        <v>215.54</v>
      </c>
      <c r="AB85" s="35">
        <f t="shared" si="1"/>
        <v>254.3372</v>
      </c>
      <c r="AC85" s="93">
        <f>Tabla1[[#This Row],[STOCK JUNIO ]]*Tabla1[[#This Row],[COSTO UNITARIO SIN ITBIS]]</f>
        <v>4310.8</v>
      </c>
    </row>
    <row r="86" spans="1:29" s="8" customFormat="1" x14ac:dyDescent="0.25">
      <c r="A86" s="261">
        <v>77</v>
      </c>
      <c r="B86" s="31">
        <v>43647</v>
      </c>
      <c r="C86" s="28" t="s">
        <v>11</v>
      </c>
      <c r="D86" s="31">
        <v>43752</v>
      </c>
      <c r="E86" s="137"/>
      <c r="F86" s="28">
        <v>1492</v>
      </c>
      <c r="G86" s="40" t="s">
        <v>68</v>
      </c>
      <c r="H86" s="50">
        <v>18</v>
      </c>
      <c r="I86" s="50"/>
      <c r="J86" s="50">
        <f>+'INVENTARIO ABRIL-JUNIO 2021'!$H86-'INVENTARIO ABRIL-JUNIO 2021'!$I86</f>
        <v>18</v>
      </c>
      <c r="K86" s="50"/>
      <c r="L86" s="50"/>
      <c r="M86" s="50"/>
      <c r="N86" s="50"/>
      <c r="O86" s="292"/>
      <c r="P86" s="50"/>
      <c r="Q86" s="50"/>
      <c r="R86" s="50">
        <v>1</v>
      </c>
      <c r="S86" s="50"/>
      <c r="T86" s="50">
        <v>1</v>
      </c>
      <c r="U86" s="50">
        <f>+Tabla1[[#This Row],[STOCK    FISICO ENERO 2021]]-Tabla1[[#This Row],[REQUISICIONES FEBRERO 2021]]</f>
        <v>18</v>
      </c>
      <c r="V86" s="50">
        <f>+Tabla1[[#This Row],[STOCK  FEBRERO 2021]]-Tabla1[[#This Row],[REQUISICIONES MARZO 2021]]+Tabla1[[#This Row],[ENTRADAS MARZO 2021]]</f>
        <v>18</v>
      </c>
      <c r="W86" s="50">
        <f>+Tabla1[[#This Row],[STOCK MARZO 2021]]-Tabla1[[#This Row],[REQUISICIONES ABRIL 2021]]+Tabla1[[#This Row],[ENTRADAS ABRIL 2021]]</f>
        <v>17</v>
      </c>
      <c r="X86" s="50">
        <f>+Tabla1[[#This Row],[STOCK ABRIL 2021]]-Tabla1[[#This Row],[REQUISICIONES MAYO 2021]]+Tabla1[[#This Row],[ENTRADAS MAYO 2021]]</f>
        <v>17</v>
      </c>
      <c r="Y86" s="50">
        <f>+Tabla1[[#This Row],[STOCK MAYO 2021]]-Tabla1[[#This Row],[REQUISICIONES JUNIO 2021]]+Tabla1[[#This Row],[ENTRADAS JUNIO 2021]]</f>
        <v>16</v>
      </c>
      <c r="Z86" s="40" t="s">
        <v>12</v>
      </c>
      <c r="AA86" s="45">
        <v>382</v>
      </c>
      <c r="AB86" s="35">
        <f t="shared" si="1"/>
        <v>450.76</v>
      </c>
      <c r="AC86" s="93">
        <f>Tabla1[[#This Row],[STOCK JUNIO ]]*Tabla1[[#This Row],[COSTO UNITARIO SIN ITBIS]]</f>
        <v>6112</v>
      </c>
    </row>
    <row r="87" spans="1:29" s="8" customFormat="1" x14ac:dyDescent="0.25">
      <c r="A87" s="261">
        <v>78</v>
      </c>
      <c r="B87" s="31">
        <v>43440</v>
      </c>
      <c r="C87" s="28" t="s">
        <v>11</v>
      </c>
      <c r="D87" s="31">
        <v>43440</v>
      </c>
      <c r="E87" s="137"/>
      <c r="F87" s="28">
        <v>1384</v>
      </c>
      <c r="G87" s="32" t="s">
        <v>69</v>
      </c>
      <c r="H87" s="46">
        <v>2437</v>
      </c>
      <c r="I87" s="46"/>
      <c r="J87" s="46">
        <f>+'INVENTARIO ABRIL-JUNIO 2021'!$H87-'INVENTARIO ABRIL-JUNIO 2021'!$I87</f>
        <v>2437</v>
      </c>
      <c r="K87" s="46"/>
      <c r="L87" s="46"/>
      <c r="M87" s="46"/>
      <c r="N87" s="46"/>
      <c r="O87" s="167"/>
      <c r="P87" s="46">
        <f>200+200+200</f>
        <v>600</v>
      </c>
      <c r="Q87" s="46">
        <f>200+200</f>
        <v>400</v>
      </c>
      <c r="R87" s="46"/>
      <c r="S87" s="46">
        <v>200</v>
      </c>
      <c r="T87" s="46">
        <v>400</v>
      </c>
      <c r="U87" s="46">
        <f>+Tabla1[[#This Row],[STOCK    FISICO ENERO 2021]]-Tabla1[[#This Row],[REQUISICIONES FEBRERO 2021]]</f>
        <v>1837</v>
      </c>
      <c r="V87" s="46">
        <f>+Tabla1[[#This Row],[STOCK  FEBRERO 2021]]-Tabla1[[#This Row],[REQUISICIONES MARZO 2021]]+Tabla1[[#This Row],[ENTRADAS MARZO 2021]]</f>
        <v>1437</v>
      </c>
      <c r="W87" s="46">
        <f>+Tabla1[[#This Row],[STOCK MARZO 2021]]-Tabla1[[#This Row],[REQUISICIONES ABRIL 2021]]+Tabla1[[#This Row],[ENTRADAS ABRIL 2021]]</f>
        <v>1437</v>
      </c>
      <c r="X87" s="46">
        <f>+Tabla1[[#This Row],[STOCK ABRIL 2021]]-Tabla1[[#This Row],[REQUISICIONES MAYO 2021]]+Tabla1[[#This Row],[ENTRADAS MAYO 2021]]</f>
        <v>1237</v>
      </c>
      <c r="Y87" s="46">
        <f>+Tabla1[[#This Row],[STOCK MAYO 2021]]-Tabla1[[#This Row],[REQUISICIONES JUNIO 2021]]+Tabla1[[#This Row],[ENTRADAS JUNIO 2021]]</f>
        <v>837</v>
      </c>
      <c r="Z87" s="30" t="s">
        <v>12</v>
      </c>
      <c r="AA87" s="34">
        <f>382/200</f>
        <v>1.91</v>
      </c>
      <c r="AB87" s="35">
        <f t="shared" si="1"/>
        <v>2.2538</v>
      </c>
      <c r="AC87" s="93">
        <f>Tabla1[[#This Row],[STOCK JUNIO ]]*Tabla1[[#This Row],[COSTO UNITARIO SIN ITBIS]]</f>
        <v>1598.6699999999998</v>
      </c>
    </row>
    <row r="88" spans="1:29" s="8" customFormat="1" x14ac:dyDescent="0.25">
      <c r="A88" s="261">
        <v>79</v>
      </c>
      <c r="B88" s="117">
        <v>44285</v>
      </c>
      <c r="C88" s="28" t="s">
        <v>11</v>
      </c>
      <c r="D88" s="117">
        <v>44285</v>
      </c>
      <c r="E88" s="138" t="s">
        <v>739</v>
      </c>
      <c r="F88" s="118"/>
      <c r="G88" s="32" t="s">
        <v>742</v>
      </c>
      <c r="H88" s="126"/>
      <c r="I88" s="126"/>
      <c r="J88" s="120">
        <f>+'INVENTARIO ABRIL-JUNIO 2021'!$H88-'INVENTARIO ABRIL-JUNIO 2021'!$I88</f>
        <v>0</v>
      </c>
      <c r="K88" s="126"/>
      <c r="L88" s="126">
        <f>100*200</f>
        <v>20000</v>
      </c>
      <c r="M88" s="126"/>
      <c r="N88" s="126"/>
      <c r="O88" s="121"/>
      <c r="P88" s="126"/>
      <c r="Q88" s="126"/>
      <c r="R88" s="126"/>
      <c r="S88" s="126"/>
      <c r="T88" s="126"/>
      <c r="U88" s="121">
        <f>+Tabla1[[#This Row],[STOCK    FISICO ENERO 2021]]-Tabla1[[#This Row],[REQUISICIONES FEBRERO 2021]]</f>
        <v>0</v>
      </c>
      <c r="V88" s="121">
        <f>+Tabla1[[#This Row],[STOCK  FEBRERO 2021]]-Tabla1[[#This Row],[REQUISICIONES MARZO 2021]]+Tabla1[[#This Row],[ENTRADAS MARZO 2021]]</f>
        <v>20000</v>
      </c>
      <c r="W88" s="121">
        <f>+Tabla1[[#This Row],[STOCK MARZO 2021]]-Tabla1[[#This Row],[REQUISICIONES ABRIL 2021]]+Tabla1[[#This Row],[ENTRADAS ABRIL 2021]]</f>
        <v>20000</v>
      </c>
      <c r="X88" s="121">
        <f>+Tabla1[[#This Row],[STOCK ABRIL 2021]]-Tabla1[[#This Row],[REQUISICIONES MAYO 2021]]+Tabla1[[#This Row],[ENTRADAS MAYO 2021]]</f>
        <v>20000</v>
      </c>
      <c r="Y88" s="121">
        <f>+Tabla1[[#This Row],[STOCK MAYO 2021]]-Tabla1[[#This Row],[REQUISICIONES JUNIO 2021]]+Tabla1[[#This Row],[ENTRADAS JUNIO 2021]]</f>
        <v>20000</v>
      </c>
      <c r="Z88" s="30" t="s">
        <v>12</v>
      </c>
      <c r="AA88" s="122">
        <v>0.3</v>
      </c>
      <c r="AB88" s="93">
        <f t="shared" si="1"/>
        <v>0.35399999999999998</v>
      </c>
      <c r="AC88" s="93">
        <f>Tabla1[[#This Row],[STOCK JUNIO ]]*Tabla1[[#This Row],[COSTO UNITARIO SIN ITBIS]]</f>
        <v>6000</v>
      </c>
    </row>
    <row r="89" spans="1:29" s="8" customFormat="1" x14ac:dyDescent="0.25">
      <c r="A89" s="261">
        <v>80</v>
      </c>
      <c r="B89" s="31">
        <v>43440</v>
      </c>
      <c r="C89" s="28" t="s">
        <v>11</v>
      </c>
      <c r="D89" s="31">
        <v>43440</v>
      </c>
      <c r="E89" s="137"/>
      <c r="F89" s="129"/>
      <c r="G89" s="32" t="s">
        <v>831</v>
      </c>
      <c r="H89" s="196"/>
      <c r="I89" s="196"/>
      <c r="J89" s="196">
        <f>+'INVENTARIO ABRIL-JUNIO 2021'!$H89-'INVENTARIO ABRIL-JUNIO 2021'!$I89+10</f>
        <v>10</v>
      </c>
      <c r="K89" s="196"/>
      <c r="L89" s="196"/>
      <c r="M89" s="196"/>
      <c r="N89" s="196"/>
      <c r="O89" s="125"/>
      <c r="P89" s="196"/>
      <c r="Q89" s="196"/>
      <c r="R89" s="196">
        <f>1+1</f>
        <v>2</v>
      </c>
      <c r="S89" s="196"/>
      <c r="T89" s="196">
        <v>2</v>
      </c>
      <c r="U89" s="125">
        <f>+Tabla1[[#This Row],[STOCK    FISICO ENERO 2021]]-Tabla1[[#This Row],[REQUISICIONES FEBRERO 2021]]</f>
        <v>10</v>
      </c>
      <c r="V89" s="125">
        <f>+Tabla1[[#This Row],[STOCK  FEBRERO 2021]]-Tabla1[[#This Row],[REQUISICIONES MARZO 2021]]+Tabla1[[#This Row],[ENTRADAS MARZO 2021]]</f>
        <v>10</v>
      </c>
      <c r="W89" s="121">
        <f>+Tabla1[[#This Row],[STOCK MARZO 2021]]-Tabla1[[#This Row],[REQUISICIONES ABRIL 2021]]+Tabla1[[#This Row],[ENTRADAS ABRIL 2021]]</f>
        <v>8</v>
      </c>
      <c r="X89" s="206">
        <f>+Tabla1[[#This Row],[STOCK ABRIL 2021]]-Tabla1[[#This Row],[REQUISICIONES MAYO 2021]]+Tabla1[[#This Row],[ENTRADAS MAYO 2021]]</f>
        <v>8</v>
      </c>
      <c r="Y89" s="206">
        <f>+Tabla1[[#This Row],[STOCK MAYO 2021]]-Tabla1[[#This Row],[REQUISICIONES JUNIO 2021]]+Tabla1[[#This Row],[ENTRADAS JUNIO 2021]]</f>
        <v>6</v>
      </c>
      <c r="Z89" s="91" t="s">
        <v>196</v>
      </c>
      <c r="AA89" s="34">
        <v>0</v>
      </c>
      <c r="AB89" s="35">
        <v>0</v>
      </c>
      <c r="AC89" s="93">
        <f>Tabla1[[#This Row],[STOCK JUNIO ]]*Tabla1[[#This Row],[COSTO UNITARIO SIN ITBIS]]</f>
        <v>0</v>
      </c>
    </row>
    <row r="90" spans="1:29" s="8" customFormat="1" x14ac:dyDescent="0.25">
      <c r="A90" s="261">
        <v>81</v>
      </c>
      <c r="B90" s="31">
        <v>43440</v>
      </c>
      <c r="C90" s="28" t="s">
        <v>11</v>
      </c>
      <c r="D90" s="31">
        <v>43440</v>
      </c>
      <c r="E90" s="137"/>
      <c r="F90" s="28">
        <v>1402</v>
      </c>
      <c r="G90" s="32" t="s">
        <v>70</v>
      </c>
      <c r="H90" s="33">
        <f>23+181</f>
        <v>204</v>
      </c>
      <c r="I90" s="33"/>
      <c r="J90" s="33">
        <f>+'INVENTARIO ABRIL-JUNIO 2021'!$H90-'INVENTARIO ABRIL-JUNIO 2021'!$I90</f>
        <v>204</v>
      </c>
      <c r="K90" s="33"/>
      <c r="L90" s="33"/>
      <c r="M90" s="33"/>
      <c r="N90" s="33"/>
      <c r="O90" s="167"/>
      <c r="P90" s="33"/>
      <c r="Q90" s="33"/>
      <c r="R90" s="33"/>
      <c r="S90" s="33"/>
      <c r="T90" s="33"/>
      <c r="U90" s="33">
        <f>+Tabla1[[#This Row],[STOCK    FISICO ENERO 2021]]-Tabla1[[#This Row],[REQUISICIONES FEBRERO 2021]]</f>
        <v>204</v>
      </c>
      <c r="V90" s="33">
        <f>+Tabla1[[#This Row],[STOCK  FEBRERO 2021]]-Tabla1[[#This Row],[REQUISICIONES MARZO 2021]]+Tabla1[[#This Row],[ENTRADAS MARZO 2021]]</f>
        <v>204</v>
      </c>
      <c r="W90" s="33">
        <f>+Tabla1[[#This Row],[STOCK MARZO 2021]]-Tabla1[[#This Row],[REQUISICIONES ABRIL 2021]]+Tabla1[[#This Row],[ENTRADAS ABRIL 2021]]</f>
        <v>204</v>
      </c>
      <c r="X90" s="33">
        <f>+Tabla1[[#This Row],[STOCK ABRIL 2021]]-Tabla1[[#This Row],[REQUISICIONES MAYO 2021]]+Tabla1[[#This Row],[ENTRADAS MAYO 2021]]</f>
        <v>204</v>
      </c>
      <c r="Y90" s="33">
        <f>+Tabla1[[#This Row],[STOCK MAYO 2021]]-Tabla1[[#This Row],[REQUISICIONES JUNIO 2021]]+Tabla1[[#This Row],[ENTRADAS JUNIO 2021]]</f>
        <v>204</v>
      </c>
      <c r="Z90" s="30" t="s">
        <v>48</v>
      </c>
      <c r="AA90" s="34">
        <v>1054</v>
      </c>
      <c r="AB90" s="35">
        <f t="shared" si="1"/>
        <v>1243.72</v>
      </c>
      <c r="AC90" s="93">
        <f>Tabla1[[#This Row],[STOCK JUNIO ]]*Tabla1[[#This Row],[COSTO UNITARIO SIN ITBIS]]</f>
        <v>215016</v>
      </c>
    </row>
    <row r="91" spans="1:29" s="8" customFormat="1" x14ac:dyDescent="0.25">
      <c r="A91" s="261">
        <v>82</v>
      </c>
      <c r="B91" s="42">
        <v>43325</v>
      </c>
      <c r="C91" s="41" t="s">
        <v>11</v>
      </c>
      <c r="D91" s="42">
        <v>43325</v>
      </c>
      <c r="E91" s="139"/>
      <c r="F91" s="43">
        <v>1112</v>
      </c>
      <c r="G91" s="40" t="s">
        <v>71</v>
      </c>
      <c r="H91" s="40">
        <v>39</v>
      </c>
      <c r="I91" s="40"/>
      <c r="J91" s="40">
        <f>+'INVENTARIO ABRIL-JUNIO 2021'!$H91-'INVENTARIO ABRIL-JUNIO 2021'!$I91</f>
        <v>39</v>
      </c>
      <c r="K91" s="40"/>
      <c r="L91" s="40"/>
      <c r="M91" s="40"/>
      <c r="N91" s="40"/>
      <c r="O91" s="168"/>
      <c r="P91" s="40"/>
      <c r="Q91" s="40"/>
      <c r="R91" s="40">
        <v>1</v>
      </c>
      <c r="S91" s="40">
        <v>1</v>
      </c>
      <c r="T91" s="40"/>
      <c r="U91" s="40">
        <f>+Tabla1[[#This Row],[STOCK    FISICO ENERO 2021]]-Tabla1[[#This Row],[REQUISICIONES FEBRERO 2021]]</f>
        <v>39</v>
      </c>
      <c r="V91" s="40">
        <f>+Tabla1[[#This Row],[STOCK  FEBRERO 2021]]-Tabla1[[#This Row],[REQUISICIONES MARZO 2021]]+Tabla1[[#This Row],[ENTRADAS MARZO 2021]]</f>
        <v>39</v>
      </c>
      <c r="W91" s="40">
        <f>+Tabla1[[#This Row],[STOCK MARZO 2021]]-Tabla1[[#This Row],[REQUISICIONES ABRIL 2021]]+Tabla1[[#This Row],[ENTRADAS ABRIL 2021]]</f>
        <v>38</v>
      </c>
      <c r="X91" s="40">
        <f>+Tabla1[[#This Row],[STOCK ABRIL 2021]]-Tabla1[[#This Row],[REQUISICIONES MAYO 2021]]+Tabla1[[#This Row],[ENTRADAS MAYO 2021]]</f>
        <v>37</v>
      </c>
      <c r="Y91" s="40">
        <f>+Tabla1[[#This Row],[STOCK MAYO 2021]]-Tabla1[[#This Row],[REQUISICIONES JUNIO 2021]]+Tabla1[[#This Row],[ENTRADAS JUNIO 2021]]</f>
        <v>37</v>
      </c>
      <c r="Z91" s="40" t="s">
        <v>12</v>
      </c>
      <c r="AA91" s="45">
        <v>3.85</v>
      </c>
      <c r="AB91" s="35">
        <f t="shared" si="1"/>
        <v>4.5430000000000001</v>
      </c>
      <c r="AC91" s="93">
        <f>Tabla1[[#This Row],[STOCK JUNIO ]]*Tabla1[[#This Row],[COSTO UNITARIO SIN ITBIS]]</f>
        <v>142.45000000000002</v>
      </c>
    </row>
    <row r="92" spans="1:29" s="11" customFormat="1" x14ac:dyDescent="0.25">
      <c r="A92" s="261">
        <v>83</v>
      </c>
      <c r="B92" s="42">
        <v>43440</v>
      </c>
      <c r="C92" s="34" t="s">
        <v>11</v>
      </c>
      <c r="D92" s="42">
        <v>43440</v>
      </c>
      <c r="E92" s="139"/>
      <c r="F92" s="51">
        <v>1110</v>
      </c>
      <c r="G92" s="48" t="s">
        <v>72</v>
      </c>
      <c r="H92" s="48">
        <v>434</v>
      </c>
      <c r="I92" s="48">
        <f>50+6+12+12+12+6+12+12</f>
        <v>122</v>
      </c>
      <c r="J92" s="48">
        <f>+'INVENTARIO ABRIL-JUNIO 2021'!$H92-'INVENTARIO ABRIL-JUNIO 2021'!$I92</f>
        <v>312</v>
      </c>
      <c r="K92" s="48"/>
      <c r="L92" s="48"/>
      <c r="M92" s="48"/>
      <c r="N92" s="48"/>
      <c r="O92" s="293"/>
      <c r="P92" s="48">
        <f>6+12+12+10+10+10+10+10+10+10+10+10+10+5+12+6+10+6+10+12+8+6+12+10+10+10+10+10+2+6+6+10+4</f>
        <v>295</v>
      </c>
      <c r="Q92" s="48">
        <f>10+6+5+1+5+5+4+10+4+15+2+3+15+5+12+20+4+5+4+12+6+4-140</f>
        <v>17</v>
      </c>
      <c r="R92" s="48"/>
      <c r="S92" s="48"/>
      <c r="T92" s="48"/>
      <c r="U92" s="48">
        <f>+Tabla1[[#This Row],[STOCK    FISICO ENERO 2021]]-Tabla1[[#This Row],[REQUISICIONES FEBRERO 2021]]</f>
        <v>17</v>
      </c>
      <c r="V92" s="48">
        <f>+Tabla1[[#This Row],[STOCK  FEBRERO 2021]]-Tabla1[[#This Row],[REQUISICIONES MARZO 2021]]+Tabla1[[#This Row],[ENTRADAS MARZO 2021]]</f>
        <v>0</v>
      </c>
      <c r="W92" s="48">
        <f>+Tabla1[[#This Row],[STOCK MARZO 2021]]-Tabla1[[#This Row],[REQUISICIONES ABRIL 2021]]+Tabla1[[#This Row],[ENTRADAS ABRIL 2021]]</f>
        <v>0</v>
      </c>
      <c r="X92" s="48">
        <f>+Tabla1[[#This Row],[STOCK ABRIL 2021]]-Tabla1[[#This Row],[REQUISICIONES MAYO 2021]]+Tabla1[[#This Row],[ENTRADAS MAYO 2021]]</f>
        <v>0</v>
      </c>
      <c r="Y92" s="48">
        <f>+Tabla1[[#This Row],[STOCK MAYO 2021]]-Tabla1[[#This Row],[REQUISICIONES JUNIO 2021]]+Tabla1[[#This Row],[ENTRADAS JUNIO 2021]]</f>
        <v>0</v>
      </c>
      <c r="Z92" s="48" t="s">
        <v>12</v>
      </c>
      <c r="AA92" s="52">
        <v>3.85</v>
      </c>
      <c r="AB92" s="35">
        <f t="shared" si="1"/>
        <v>4.5430000000000001</v>
      </c>
      <c r="AC92" s="93">
        <f>Tabla1[[#This Row],[STOCK JUNIO ]]*Tabla1[[#This Row],[COSTO UNITARIO SIN ITBIS]]</f>
        <v>0</v>
      </c>
    </row>
    <row r="93" spans="1:29" s="8" customFormat="1" x14ac:dyDescent="0.25">
      <c r="A93" s="261">
        <v>84</v>
      </c>
      <c r="B93" s="117">
        <v>44285</v>
      </c>
      <c r="C93" s="34" t="s">
        <v>11</v>
      </c>
      <c r="D93" s="117">
        <v>44285</v>
      </c>
      <c r="E93" s="138" t="s">
        <v>755</v>
      </c>
      <c r="F93" s="118"/>
      <c r="G93" s="119" t="s">
        <v>758</v>
      </c>
      <c r="H93" s="120"/>
      <c r="I93" s="120"/>
      <c r="J93" s="120">
        <f>+'INVENTARIO ABRIL-JUNIO 2021'!$H93-'INVENTARIO ABRIL-JUNIO 2021'!$I93</f>
        <v>0</v>
      </c>
      <c r="K93" s="120"/>
      <c r="L93" s="120">
        <v>2200</v>
      </c>
      <c r="M93" s="120"/>
      <c r="N93" s="120"/>
      <c r="O93" s="121"/>
      <c r="P93" s="120"/>
      <c r="Q93" s="120">
        <f>140+60</f>
        <v>200</v>
      </c>
      <c r="R93" s="120">
        <f>12+12+24+6+12+60+12+6+15+12+24+15+12+12+12+5+12+24+24+24+12+12+12+12+12+24+12+12+12+24+48+12+12+12+12+12+12+12+80+12+10+12+10+24+10</f>
        <v>769</v>
      </c>
      <c r="S93" s="120">
        <f>15+24+24+6+12+10+12+12+12+12+12+12+10+10+12+12+12+12+2+12+12+12+24+24+12+12+6+10+5+24+12+6+36+12+12+3</f>
        <v>467</v>
      </c>
      <c r="T93" s="120">
        <f>12+12+12+24+12+12+10+3+12+12+60+12+3+12+12+12+12+24+12+24+12+12+15+12+12+12</f>
        <v>379</v>
      </c>
      <c r="U93" s="121">
        <f>+Tabla1[[#This Row],[STOCK    FISICO ENERO 2021]]-Tabla1[[#This Row],[REQUISICIONES FEBRERO 2021]]</f>
        <v>0</v>
      </c>
      <c r="V93" s="121">
        <f>+Tabla1[[#This Row],[STOCK  FEBRERO 2021]]-Tabla1[[#This Row],[REQUISICIONES MARZO 2021]]+Tabla1[[#This Row],[ENTRADAS MARZO 2021]]</f>
        <v>2000</v>
      </c>
      <c r="W93" s="121">
        <f>+Tabla1[[#This Row],[STOCK MARZO 2021]]-Tabla1[[#This Row],[REQUISICIONES ABRIL 2021]]+Tabla1[[#This Row],[ENTRADAS ABRIL 2021]]</f>
        <v>1231</v>
      </c>
      <c r="X93" s="121">
        <f>+Tabla1[[#This Row],[STOCK ABRIL 2021]]-Tabla1[[#This Row],[REQUISICIONES MAYO 2021]]+Tabla1[[#This Row],[ENTRADAS MAYO 2021]]</f>
        <v>764</v>
      </c>
      <c r="Y93" s="121">
        <f>+Tabla1[[#This Row],[STOCK MAYO 2021]]-Tabla1[[#This Row],[REQUISICIONES JUNIO 2021]]+Tabla1[[#This Row],[ENTRADAS JUNIO 2021]]</f>
        <v>385</v>
      </c>
      <c r="Z93" s="48" t="s">
        <v>12</v>
      </c>
      <c r="AA93" s="122">
        <v>6.55</v>
      </c>
      <c r="AB93" s="124" t="s">
        <v>747</v>
      </c>
      <c r="AC93" s="93">
        <f>Tabla1[[#This Row],[STOCK JUNIO ]]*Tabla1[[#This Row],[COSTO UNITARIO SIN ITBIS]]</f>
        <v>2521.75</v>
      </c>
    </row>
    <row r="94" spans="1:29" s="8" customFormat="1" x14ac:dyDescent="0.25">
      <c r="A94" s="261">
        <v>85</v>
      </c>
      <c r="B94" s="117">
        <v>44285</v>
      </c>
      <c r="C94" s="34" t="s">
        <v>11</v>
      </c>
      <c r="D94" s="117">
        <v>44285</v>
      </c>
      <c r="E94" s="138" t="s">
        <v>755</v>
      </c>
      <c r="F94" s="118"/>
      <c r="G94" s="119" t="s">
        <v>759</v>
      </c>
      <c r="H94" s="120"/>
      <c r="I94" s="120"/>
      <c r="J94" s="120">
        <f>+'INVENTARIO ABRIL-JUNIO 2021'!$H94-'INVENTARIO ABRIL-JUNIO 2021'!$I94</f>
        <v>0</v>
      </c>
      <c r="K94" s="120"/>
      <c r="L94" s="120">
        <v>120</v>
      </c>
      <c r="M94" s="120"/>
      <c r="N94" s="120"/>
      <c r="O94" s="121"/>
      <c r="P94" s="120"/>
      <c r="Q94" s="120">
        <v>36</v>
      </c>
      <c r="R94" s="120">
        <f>12+12+12</f>
        <v>36</v>
      </c>
      <c r="S94" s="120">
        <f>5+24+12</f>
        <v>41</v>
      </c>
      <c r="T94" s="120">
        <f>3+3</f>
        <v>6</v>
      </c>
      <c r="U94" s="121">
        <f>+Tabla1[[#This Row],[STOCK    FISICO ENERO 2021]]-Tabla1[[#This Row],[REQUISICIONES FEBRERO 2021]]</f>
        <v>0</v>
      </c>
      <c r="V94" s="121">
        <f>+Tabla1[[#This Row],[STOCK  FEBRERO 2021]]-Tabla1[[#This Row],[REQUISICIONES MARZO 2021]]+Tabla1[[#This Row],[ENTRADAS MARZO 2021]]</f>
        <v>84</v>
      </c>
      <c r="W94" s="121">
        <f>+Tabla1[[#This Row],[STOCK MARZO 2021]]-Tabla1[[#This Row],[REQUISICIONES ABRIL 2021]]+Tabla1[[#This Row],[ENTRADAS ABRIL 2021]]</f>
        <v>48</v>
      </c>
      <c r="X94" s="121">
        <f>+Tabla1[[#This Row],[STOCK ABRIL 2021]]-Tabla1[[#This Row],[REQUISICIONES MAYO 2021]]+Tabla1[[#This Row],[ENTRADAS MAYO 2021]]</f>
        <v>7</v>
      </c>
      <c r="Y94" s="121">
        <f>+Tabla1[[#This Row],[STOCK MAYO 2021]]-Tabla1[[#This Row],[REQUISICIONES JUNIO 2021]]+Tabla1[[#This Row],[ENTRADAS JUNIO 2021]]</f>
        <v>1</v>
      </c>
      <c r="Z94" s="48" t="s">
        <v>12</v>
      </c>
      <c r="AA94" s="122">
        <v>6.55</v>
      </c>
      <c r="AB94" s="124" t="s">
        <v>747</v>
      </c>
      <c r="AC94" s="93">
        <f>Tabla1[[#This Row],[STOCK JUNIO ]]*Tabla1[[#This Row],[COSTO UNITARIO SIN ITBIS]]</f>
        <v>6.55</v>
      </c>
    </row>
    <row r="95" spans="1:29" s="8" customFormat="1" x14ac:dyDescent="0.25">
      <c r="A95" s="261">
        <v>86</v>
      </c>
      <c r="B95" s="117">
        <v>44285</v>
      </c>
      <c r="C95" s="34" t="s">
        <v>11</v>
      </c>
      <c r="D95" s="117">
        <v>44285</v>
      </c>
      <c r="E95" s="138" t="s">
        <v>755</v>
      </c>
      <c r="F95" s="118"/>
      <c r="G95" s="119" t="s">
        <v>760</v>
      </c>
      <c r="H95" s="120"/>
      <c r="I95" s="120"/>
      <c r="J95" s="120">
        <f>+'INVENTARIO ABRIL-JUNIO 2021'!$H95-'INVENTARIO ABRIL-JUNIO 2021'!$I95</f>
        <v>0</v>
      </c>
      <c r="K95" s="120"/>
      <c r="L95" s="120">
        <v>48</v>
      </c>
      <c r="M95" s="120"/>
      <c r="N95" s="120"/>
      <c r="O95" s="121"/>
      <c r="P95" s="120"/>
      <c r="Q95" s="120"/>
      <c r="R95" s="120"/>
      <c r="S95" s="120"/>
      <c r="T95" s="120"/>
      <c r="U95" s="121">
        <f>+Tabla1[[#This Row],[STOCK    FISICO ENERO 2021]]-Tabla1[[#This Row],[REQUISICIONES FEBRERO 2021]]</f>
        <v>0</v>
      </c>
      <c r="V95" s="121">
        <f>+Tabla1[[#This Row],[STOCK  FEBRERO 2021]]-Tabla1[[#This Row],[REQUISICIONES MARZO 2021]]+Tabla1[[#This Row],[ENTRADAS MARZO 2021]]</f>
        <v>48</v>
      </c>
      <c r="W95" s="121">
        <f>+Tabla1[[#This Row],[STOCK MARZO 2021]]-Tabla1[[#This Row],[REQUISICIONES ABRIL 2021]]+Tabla1[[#This Row],[ENTRADAS ABRIL 2021]]</f>
        <v>48</v>
      </c>
      <c r="X95" s="121">
        <f>+Tabla1[[#This Row],[STOCK ABRIL 2021]]-Tabla1[[#This Row],[REQUISICIONES MAYO 2021]]+Tabla1[[#This Row],[ENTRADAS MAYO 2021]]</f>
        <v>48</v>
      </c>
      <c r="Y95" s="121">
        <f>+Tabla1[[#This Row],[STOCK MAYO 2021]]-Tabla1[[#This Row],[REQUISICIONES JUNIO 2021]]+Tabla1[[#This Row],[ENTRADAS JUNIO 2021]]</f>
        <v>48</v>
      </c>
      <c r="Z95" s="48" t="s">
        <v>12</v>
      </c>
      <c r="AA95" s="122">
        <v>6.55</v>
      </c>
      <c r="AB95" s="124" t="s">
        <v>747</v>
      </c>
      <c r="AC95" s="93">
        <f>Tabla1[[#This Row],[STOCK JUNIO ]]*Tabla1[[#This Row],[COSTO UNITARIO SIN ITBIS]]</f>
        <v>314.39999999999998</v>
      </c>
    </row>
    <row r="96" spans="1:29" s="8" customFormat="1" x14ac:dyDescent="0.25">
      <c r="A96" s="261">
        <v>87</v>
      </c>
      <c r="B96" s="42">
        <v>44110</v>
      </c>
      <c r="C96" s="41" t="s">
        <v>11</v>
      </c>
      <c r="D96" s="42">
        <v>44110</v>
      </c>
      <c r="E96" s="139"/>
      <c r="F96" s="44" t="s">
        <v>20</v>
      </c>
      <c r="G96" s="40" t="s">
        <v>73</v>
      </c>
      <c r="H96" s="40">
        <v>154</v>
      </c>
      <c r="I96" s="40"/>
      <c r="J96" s="40">
        <f>+'INVENTARIO ABRIL-JUNIO 2021'!$H96-'INVENTARIO ABRIL-JUNIO 2021'!$I96</f>
        <v>154</v>
      </c>
      <c r="K96" s="40"/>
      <c r="L96" s="40"/>
      <c r="M96" s="40"/>
      <c r="N96" s="40"/>
      <c r="O96" s="168"/>
      <c r="P96" s="40"/>
      <c r="Q96" s="40">
        <v>30</v>
      </c>
      <c r="R96" s="40">
        <v>10</v>
      </c>
      <c r="S96" s="40"/>
      <c r="T96" s="40">
        <v>1</v>
      </c>
      <c r="U96" s="40">
        <f>+Tabla1[[#This Row],[STOCK    FISICO ENERO 2021]]-Tabla1[[#This Row],[REQUISICIONES FEBRERO 2021]]</f>
        <v>154</v>
      </c>
      <c r="V96" s="40">
        <f>+Tabla1[[#This Row],[STOCK  FEBRERO 2021]]-Tabla1[[#This Row],[REQUISICIONES MARZO 2021]]+Tabla1[[#This Row],[ENTRADAS MARZO 2021]]</f>
        <v>124</v>
      </c>
      <c r="W96" s="40">
        <f>+Tabla1[[#This Row],[STOCK MARZO 2021]]-Tabla1[[#This Row],[REQUISICIONES ABRIL 2021]]+Tabla1[[#This Row],[ENTRADAS ABRIL 2021]]</f>
        <v>114</v>
      </c>
      <c r="X96" s="40">
        <f>+Tabla1[[#This Row],[STOCK ABRIL 2021]]-Tabla1[[#This Row],[REQUISICIONES MAYO 2021]]+Tabla1[[#This Row],[ENTRADAS MAYO 2021]]</f>
        <v>114</v>
      </c>
      <c r="Y96" s="40">
        <f>+Tabla1[[#This Row],[STOCK MAYO 2021]]-Tabla1[[#This Row],[REQUISICIONES JUNIO 2021]]+Tabla1[[#This Row],[ENTRADAS JUNIO 2021]]</f>
        <v>113</v>
      </c>
      <c r="Z96" s="40" t="s">
        <v>12</v>
      </c>
      <c r="AA96" s="45">
        <v>595</v>
      </c>
      <c r="AB96" s="35">
        <f t="shared" si="1"/>
        <v>702.1</v>
      </c>
      <c r="AC96" s="93">
        <f>Tabla1[[#This Row],[STOCK JUNIO ]]*Tabla1[[#This Row],[COSTO UNITARIO SIN ITBIS]]</f>
        <v>67235</v>
      </c>
    </row>
    <row r="97" spans="1:29" s="11" customFormat="1" x14ac:dyDescent="0.25">
      <c r="A97" s="261">
        <v>88</v>
      </c>
      <c r="B97" s="42">
        <v>43440</v>
      </c>
      <c r="C97" s="34" t="s">
        <v>11</v>
      </c>
      <c r="D97" s="42">
        <v>43440</v>
      </c>
      <c r="E97" s="139"/>
      <c r="F97" s="51">
        <v>1113</v>
      </c>
      <c r="G97" s="48" t="s">
        <v>74</v>
      </c>
      <c r="H97" s="40">
        <v>641</v>
      </c>
      <c r="I97" s="40">
        <f>6+12+12</f>
        <v>30</v>
      </c>
      <c r="J97" s="48">
        <f>+'INVENTARIO ABRIL-JUNIO 2021'!$H97-'INVENTARIO ABRIL-JUNIO 2021'!$I97</f>
        <v>611</v>
      </c>
      <c r="K97" s="48"/>
      <c r="L97" s="48"/>
      <c r="M97" s="48"/>
      <c r="N97" s="48"/>
      <c r="O97" s="293"/>
      <c r="P97" s="48">
        <f>12+12+10+12+10+12+6+12+2+12+12+8+12</f>
        <v>132</v>
      </c>
      <c r="Q97" s="48">
        <f>12+12+12+12+12+12+120+12+60+12+24</f>
        <v>300</v>
      </c>
      <c r="R97" s="48">
        <f>12+12+6+24+4+100+21</f>
        <v>179</v>
      </c>
      <c r="S97" s="48"/>
      <c r="T97" s="48"/>
      <c r="U97" s="48">
        <f>+Tabla1[[#This Row],[STOCK    FISICO ENERO 2021]]-Tabla1[[#This Row],[REQUISICIONES FEBRERO 2021]]</f>
        <v>479</v>
      </c>
      <c r="V97" s="48">
        <f>+Tabla1[[#This Row],[STOCK  FEBRERO 2021]]-Tabla1[[#This Row],[REQUISICIONES MARZO 2021]]+Tabla1[[#This Row],[ENTRADAS MARZO 2021]]</f>
        <v>179</v>
      </c>
      <c r="W97" s="48">
        <f>+Tabla1[[#This Row],[STOCK MARZO 2021]]-Tabla1[[#This Row],[REQUISICIONES ABRIL 2021]]+Tabla1[[#This Row],[ENTRADAS ABRIL 2021]]</f>
        <v>0</v>
      </c>
      <c r="X97" s="48">
        <f>+Tabla1[[#This Row],[STOCK ABRIL 2021]]-Tabla1[[#This Row],[REQUISICIONES MAYO 2021]]+Tabla1[[#This Row],[ENTRADAS MAYO 2021]]</f>
        <v>0</v>
      </c>
      <c r="Y97" s="48">
        <f>+Tabla1[[#This Row],[STOCK MAYO 2021]]-Tabla1[[#This Row],[REQUISICIONES JUNIO 2021]]+Tabla1[[#This Row],[ENTRADAS JUNIO 2021]]</f>
        <v>0</v>
      </c>
      <c r="Z97" s="48" t="s">
        <v>12</v>
      </c>
      <c r="AA97" s="52">
        <v>3.85</v>
      </c>
      <c r="AB97" s="35">
        <f t="shared" si="1"/>
        <v>4.5430000000000001</v>
      </c>
      <c r="AC97" s="93">
        <f>Tabla1[[#This Row],[STOCK JUNIO ]]*Tabla1[[#This Row],[COSTO UNITARIO SIN ITBIS]]</f>
        <v>0</v>
      </c>
    </row>
    <row r="98" spans="1:29" s="8" customFormat="1" x14ac:dyDescent="0.25">
      <c r="A98" s="261">
        <v>89</v>
      </c>
      <c r="B98" s="117">
        <v>44285</v>
      </c>
      <c r="C98" s="34" t="s">
        <v>11</v>
      </c>
      <c r="D98" s="117">
        <v>44285</v>
      </c>
      <c r="E98" s="138" t="s">
        <v>739</v>
      </c>
      <c r="F98" s="118"/>
      <c r="G98" s="48" t="s">
        <v>744</v>
      </c>
      <c r="H98" s="40"/>
      <c r="I98" s="40"/>
      <c r="J98" s="120">
        <f>+'INVENTARIO ABRIL-JUNIO 2021'!$H98-'INVENTARIO ABRIL-JUNIO 2021'!$I98</f>
        <v>0</v>
      </c>
      <c r="K98" s="120"/>
      <c r="L98" s="120">
        <f>50*12</f>
        <v>600</v>
      </c>
      <c r="M98" s="120"/>
      <c r="N98" s="120"/>
      <c r="O98" s="121"/>
      <c r="P98" s="120"/>
      <c r="Q98" s="120"/>
      <c r="R98" s="120">
        <f>3+24+12+12+6+12+36+24+12+48+12+12+12+12+12+12+24</f>
        <v>285</v>
      </c>
      <c r="S98" s="120">
        <f>24+6+12+24+12+6+12+12+12+24</f>
        <v>144</v>
      </c>
      <c r="T98" s="120">
        <f>12+24+12+12+6+12+12+24+12+12</f>
        <v>138</v>
      </c>
      <c r="U98" s="121">
        <f>+Tabla1[[#This Row],[STOCK    FISICO ENERO 2021]]-Tabla1[[#This Row],[REQUISICIONES FEBRERO 2021]]</f>
        <v>0</v>
      </c>
      <c r="V98" s="121">
        <f>+Tabla1[[#This Row],[STOCK  FEBRERO 2021]]-Tabla1[[#This Row],[REQUISICIONES MARZO 2021]]+Tabla1[[#This Row],[ENTRADAS MARZO 2021]]</f>
        <v>600</v>
      </c>
      <c r="W98" s="121">
        <f>+Tabla1[[#This Row],[STOCK MARZO 2021]]-Tabla1[[#This Row],[REQUISICIONES ABRIL 2021]]+Tabla1[[#This Row],[ENTRADAS ABRIL 2021]]</f>
        <v>315</v>
      </c>
      <c r="X98" s="121">
        <f>+Tabla1[[#This Row],[STOCK ABRIL 2021]]-Tabla1[[#This Row],[REQUISICIONES MAYO 2021]]+Tabla1[[#This Row],[ENTRADAS MAYO 2021]]</f>
        <v>171</v>
      </c>
      <c r="Y98" s="121">
        <f>+Tabla1[[#This Row],[STOCK MAYO 2021]]-Tabla1[[#This Row],[REQUISICIONES JUNIO 2021]]+Tabla1[[#This Row],[ENTRADAS JUNIO 2021]]</f>
        <v>33</v>
      </c>
      <c r="Z98" s="48" t="s">
        <v>12</v>
      </c>
      <c r="AA98" s="122">
        <v>3.75</v>
      </c>
      <c r="AB98" s="93">
        <f t="shared" si="1"/>
        <v>4.4249999999999998</v>
      </c>
      <c r="AC98" s="93">
        <f>Tabla1[[#This Row],[STOCK JUNIO ]]*Tabla1[[#This Row],[COSTO UNITARIO SIN ITBIS]]</f>
        <v>123.75</v>
      </c>
    </row>
    <row r="99" spans="1:29" s="187" customFormat="1" x14ac:dyDescent="0.25">
      <c r="A99" s="261">
        <v>90</v>
      </c>
      <c r="B99" s="31">
        <v>43440</v>
      </c>
      <c r="C99" s="28" t="s">
        <v>11</v>
      </c>
      <c r="D99" s="31">
        <v>43440</v>
      </c>
      <c r="E99" s="137"/>
      <c r="F99" s="28">
        <v>1380</v>
      </c>
      <c r="G99" s="32" t="s">
        <v>75</v>
      </c>
      <c r="H99" s="40">
        <v>70</v>
      </c>
      <c r="I99" s="40">
        <v>4</v>
      </c>
      <c r="J99" s="46">
        <f>+'INVENTARIO ABRIL-JUNIO 2021'!$H99-'INVENTARIO ABRIL-JUNIO 2021'!$I99+56</f>
        <v>122</v>
      </c>
      <c r="K99" s="46"/>
      <c r="L99" s="46"/>
      <c r="M99" s="46"/>
      <c r="N99" s="46"/>
      <c r="O99" s="167"/>
      <c r="P99" s="46">
        <f>3+4+3+10+3+5+2+2+3+3+6+2</f>
        <v>46</v>
      </c>
      <c r="Q99" s="46">
        <f>12+10+4+3+25+5+3+4+3+5+3+10-67+56</f>
        <v>76</v>
      </c>
      <c r="R99" s="46"/>
      <c r="S99" s="46"/>
      <c r="T99" s="46"/>
      <c r="U99" s="46">
        <f>+Tabla1[[#This Row],[STOCK    FISICO ENERO 2021]]-Tabla1[[#This Row],[REQUISICIONES FEBRERO 2021]]</f>
        <v>76</v>
      </c>
      <c r="V99" s="46">
        <f>+Tabla1[[#This Row],[STOCK  FEBRERO 2021]]-Tabla1[[#This Row],[REQUISICIONES MARZO 2021]]+Tabla1[[#This Row],[ENTRADAS MARZO 2021]]</f>
        <v>0</v>
      </c>
      <c r="W99" s="46">
        <f>+Tabla1[[#This Row],[STOCK MARZO 2021]]-Tabla1[[#This Row],[REQUISICIONES ABRIL 2021]]+Tabla1[[#This Row],[ENTRADAS ABRIL 2021]]</f>
        <v>0</v>
      </c>
      <c r="X99" s="46">
        <f>+Tabla1[[#This Row],[STOCK ABRIL 2021]]-Tabla1[[#This Row],[REQUISICIONES MAYO 2021]]+Tabla1[[#This Row],[ENTRADAS MAYO 2021]]</f>
        <v>0</v>
      </c>
      <c r="Y99" s="46">
        <f>+Tabla1[[#This Row],[STOCK MAYO 2021]]-Tabla1[[#This Row],[REQUISICIONES JUNIO 2021]]+Tabla1[[#This Row],[ENTRADAS JUNIO 2021]]</f>
        <v>0</v>
      </c>
      <c r="Z99" s="30" t="s">
        <v>12</v>
      </c>
      <c r="AA99" s="34">
        <v>16.64</v>
      </c>
      <c r="AB99" s="35">
        <f t="shared" si="1"/>
        <v>19.635200000000001</v>
      </c>
      <c r="AC99" s="93">
        <f>Tabla1[[#This Row],[STOCK JUNIO ]]*Tabla1[[#This Row],[COSTO UNITARIO SIN ITBIS]]</f>
        <v>0</v>
      </c>
    </row>
    <row r="100" spans="1:29" s="12" customFormat="1" x14ac:dyDescent="0.25">
      <c r="A100" s="261">
        <v>91</v>
      </c>
      <c r="B100" s="117">
        <v>44285</v>
      </c>
      <c r="C100" s="28" t="s">
        <v>11</v>
      </c>
      <c r="D100" s="117">
        <v>44275</v>
      </c>
      <c r="E100" s="138" t="s">
        <v>739</v>
      </c>
      <c r="F100" s="197"/>
      <c r="G100" s="75" t="s">
        <v>745</v>
      </c>
      <c r="H100" s="126"/>
      <c r="I100" s="126"/>
      <c r="J100" s="126">
        <f>+'INVENTARIO ABRIL-JUNIO 2021'!$H100-'INVENTARIO ABRIL-JUNIO 2021'!$I100</f>
        <v>0</v>
      </c>
      <c r="K100" s="126"/>
      <c r="L100" s="126">
        <v>230</v>
      </c>
      <c r="M100" s="126"/>
      <c r="N100" s="126"/>
      <c r="O100" s="121"/>
      <c r="P100" s="126"/>
      <c r="Q100" s="126">
        <v>11</v>
      </c>
      <c r="R100" s="126">
        <f>4+2+2+100+10+12+4+25+4+10+5+5+2+80+3-93</f>
        <v>175</v>
      </c>
      <c r="S100" s="126">
        <f>6+10+3+1+12+2+2+2+1+5</f>
        <v>44</v>
      </c>
      <c r="T100" s="126"/>
      <c r="U100" s="121">
        <f>+Tabla1[[#This Row],[STOCK    FISICO ENERO 2021]]-Tabla1[[#This Row],[REQUISICIONES FEBRERO 2021]]</f>
        <v>0</v>
      </c>
      <c r="V100" s="121">
        <f>+Tabla1[[#This Row],[STOCK  FEBRERO 2021]]-Tabla1[[#This Row],[REQUISICIONES MARZO 2021]]+Tabla1[[#This Row],[ENTRADAS MARZO 2021]]</f>
        <v>219</v>
      </c>
      <c r="W100" s="46">
        <f>+Tabla1[[#This Row],[STOCK MARZO 2021]]-Tabla1[[#This Row],[REQUISICIONES ABRIL 2021]]+Tabla1[[#This Row],[ENTRADAS ABRIL 2021]]</f>
        <v>44</v>
      </c>
      <c r="X100" s="121">
        <f>+Tabla1[[#This Row],[STOCK ABRIL 2021]]-Tabla1[[#This Row],[REQUISICIONES MAYO 2021]]+Tabla1[[#This Row],[ENTRADAS MAYO 2021]]</f>
        <v>0</v>
      </c>
      <c r="Y100" s="121">
        <f>+Tabla1[[#This Row],[STOCK MAYO 2021]]-Tabla1[[#This Row],[REQUISICIONES JUNIO 2021]]+Tabla1[[#This Row],[ENTRADAS JUNIO 2021]]</f>
        <v>0</v>
      </c>
      <c r="Z100" s="30" t="s">
        <v>12</v>
      </c>
      <c r="AA100" s="122">
        <v>9.5</v>
      </c>
      <c r="AB100" s="93">
        <f t="shared" si="1"/>
        <v>11.21</v>
      </c>
      <c r="AC100" s="93">
        <f>Tabla1[[#This Row],[STOCK JUNIO ]]*Tabla1[[#This Row],[COSTO UNITARIO SIN ITBIS]]</f>
        <v>0</v>
      </c>
    </row>
    <row r="101" spans="1:29" s="12" customFormat="1" x14ac:dyDescent="0.25">
      <c r="A101" s="261">
        <v>92</v>
      </c>
      <c r="B101" s="117">
        <v>44312</v>
      </c>
      <c r="C101" s="28" t="s">
        <v>11</v>
      </c>
      <c r="D101" s="117">
        <v>44301</v>
      </c>
      <c r="E101" s="138" t="s">
        <v>739</v>
      </c>
      <c r="F101" s="197"/>
      <c r="G101" s="75" t="s">
        <v>745</v>
      </c>
      <c r="H101" s="126"/>
      <c r="I101" s="126"/>
      <c r="J101" s="126">
        <f>+'INVENTARIO ABRIL-JUNIO 2021'!$H101-'INVENTARIO ABRIL-JUNIO 2021'!$I101</f>
        <v>0</v>
      </c>
      <c r="K101" s="126"/>
      <c r="L101" s="126"/>
      <c r="M101" s="126">
        <v>276</v>
      </c>
      <c r="N101" s="126"/>
      <c r="O101" s="121"/>
      <c r="P101" s="126"/>
      <c r="Q101" s="126"/>
      <c r="R101" s="126"/>
      <c r="S101" s="126">
        <v>47</v>
      </c>
      <c r="T101" s="126">
        <f>2+3+5+2+6+5+6+3+10+2</f>
        <v>44</v>
      </c>
      <c r="U101" s="121">
        <f>+Tabla1[[#This Row],[STOCK    FISICO ENERO 2021]]-Tabla1[[#This Row],[REQUISICIONES FEBRERO 2021]]</f>
        <v>0</v>
      </c>
      <c r="V101" s="121">
        <f>+Tabla1[[#This Row],[STOCK  FEBRERO 2021]]-Tabla1[[#This Row],[REQUISICIONES MARZO 2021]]+Tabla1[[#This Row],[ENTRADAS MARZO 2021]]</f>
        <v>0</v>
      </c>
      <c r="W101" s="121">
        <f>+Tabla1[[#This Row],[STOCK MARZO 2021]]-Tabla1[[#This Row],[REQUISICIONES ABRIL 2021]]+Tabla1[[#This Row],[ENTRADAS ABRIL 2021]]</f>
        <v>276</v>
      </c>
      <c r="X101" s="121">
        <f>+Tabla1[[#This Row],[STOCK ABRIL 2021]]-Tabla1[[#This Row],[REQUISICIONES MAYO 2021]]+Tabla1[[#This Row],[ENTRADAS MAYO 2021]]</f>
        <v>229</v>
      </c>
      <c r="Y101" s="121">
        <f>+Tabla1[[#This Row],[STOCK MAYO 2021]]-Tabla1[[#This Row],[REQUISICIONES JUNIO 2021]]+Tabla1[[#This Row],[ENTRADAS JUNIO 2021]]</f>
        <v>185</v>
      </c>
      <c r="Z101" s="30" t="s">
        <v>12</v>
      </c>
      <c r="AA101" s="122"/>
      <c r="AB101" s="123"/>
      <c r="AC101" s="93">
        <f>Tabla1[[#This Row],[STOCK JUNIO ]]*Tabla1[[#This Row],[COSTO UNITARIO SIN ITBIS]]</f>
        <v>0</v>
      </c>
    </row>
    <row r="102" spans="1:29" s="8" customFormat="1" x14ac:dyDescent="0.25">
      <c r="A102" s="261">
        <v>93</v>
      </c>
      <c r="B102" s="42">
        <v>43724</v>
      </c>
      <c r="C102" s="34" t="s">
        <v>11</v>
      </c>
      <c r="D102" s="42">
        <v>43724</v>
      </c>
      <c r="E102" s="139"/>
      <c r="F102" s="51">
        <v>1109</v>
      </c>
      <c r="G102" s="48" t="s">
        <v>76</v>
      </c>
      <c r="H102" s="48">
        <v>327</v>
      </c>
      <c r="I102" s="48">
        <f>4+5</f>
        <v>9</v>
      </c>
      <c r="J102" s="48">
        <f>+'INVENTARIO ABRIL-JUNIO 2021'!$H102-'INVENTARIO ABRIL-JUNIO 2021'!$I102</f>
        <v>318</v>
      </c>
      <c r="K102" s="48"/>
      <c r="L102" s="48"/>
      <c r="M102" s="48"/>
      <c r="N102" s="48"/>
      <c r="O102" s="293"/>
      <c r="P102" s="48">
        <f>4+2+4+3+5+3+3+6+5</f>
        <v>35</v>
      </c>
      <c r="Q102" s="48">
        <f>10+1+2+5+4+4+10</f>
        <v>36</v>
      </c>
      <c r="R102" s="48">
        <f>3+4+30+3+12+4+10+3+5+5+2+2+4</f>
        <v>87</v>
      </c>
      <c r="S102" s="48">
        <f>10+6+5+6+6+6+2+6+1+2</f>
        <v>50</v>
      </c>
      <c r="T102" s="48">
        <f>2+7+6+5+5+3+1</f>
        <v>29</v>
      </c>
      <c r="U102" s="48">
        <f>+Tabla1[[#This Row],[STOCK    FISICO ENERO 2021]]-Tabla1[[#This Row],[REQUISICIONES FEBRERO 2021]]</f>
        <v>283</v>
      </c>
      <c r="V102" s="48">
        <f>+Tabla1[[#This Row],[STOCK  FEBRERO 2021]]-Tabla1[[#This Row],[REQUISICIONES MARZO 2021]]+Tabla1[[#This Row],[ENTRADAS MARZO 2021]]</f>
        <v>247</v>
      </c>
      <c r="W102" s="48">
        <f>+Tabla1[[#This Row],[STOCK MARZO 2021]]-Tabla1[[#This Row],[REQUISICIONES ABRIL 2021]]+Tabla1[[#This Row],[ENTRADAS ABRIL 2021]]</f>
        <v>160</v>
      </c>
      <c r="X102" s="48">
        <f>+Tabla1[[#This Row],[STOCK ABRIL 2021]]-Tabla1[[#This Row],[REQUISICIONES MAYO 2021]]+Tabla1[[#This Row],[ENTRADAS MAYO 2021]]</f>
        <v>110</v>
      </c>
      <c r="Y102" s="48">
        <f>+Tabla1[[#This Row],[STOCK MAYO 2021]]-Tabla1[[#This Row],[REQUISICIONES JUNIO 2021]]+Tabla1[[#This Row],[ENTRADAS JUNIO 2021]]</f>
        <v>81</v>
      </c>
      <c r="Z102" s="33" t="s">
        <v>12</v>
      </c>
      <c r="AA102" s="52">
        <v>29.85</v>
      </c>
      <c r="AB102" s="35">
        <f t="shared" si="1"/>
        <v>35.222999999999999</v>
      </c>
      <c r="AC102" s="93">
        <f>Tabla1[[#This Row],[STOCK JUNIO ]]*Tabla1[[#This Row],[COSTO UNITARIO SIN ITBIS]]</f>
        <v>2417.85</v>
      </c>
    </row>
    <row r="103" spans="1:29" s="8" customFormat="1" x14ac:dyDescent="0.25">
      <c r="A103" s="261">
        <v>94</v>
      </c>
      <c r="B103" s="117">
        <v>44285</v>
      </c>
      <c r="C103" s="34" t="s">
        <v>11</v>
      </c>
      <c r="D103" s="117">
        <v>44285</v>
      </c>
      <c r="E103" s="138" t="s">
        <v>739</v>
      </c>
      <c r="F103" s="197"/>
      <c r="G103" s="48" t="s">
        <v>752</v>
      </c>
      <c r="H103" s="120"/>
      <c r="I103" s="120"/>
      <c r="J103" s="126">
        <f>+'INVENTARIO ABRIL-JUNIO 2021'!$H103-'INVENTARIO ABRIL-JUNIO 2021'!$I103</f>
        <v>0</v>
      </c>
      <c r="K103" s="120"/>
      <c r="L103" s="120">
        <v>100</v>
      </c>
      <c r="M103" s="120"/>
      <c r="N103" s="120"/>
      <c r="O103" s="121"/>
      <c r="P103" s="120"/>
      <c r="Q103" s="120"/>
      <c r="R103" s="120"/>
      <c r="S103" s="120"/>
      <c r="T103" s="120"/>
      <c r="U103" s="121">
        <f>+Tabla1[[#This Row],[STOCK    FISICO ENERO 2021]]-Tabla1[[#This Row],[REQUISICIONES FEBRERO 2021]]</f>
        <v>0</v>
      </c>
      <c r="V103" s="121">
        <f>+Tabla1[[#This Row],[STOCK  FEBRERO 2021]]-Tabla1[[#This Row],[REQUISICIONES MARZO 2021]]+Tabla1[[#This Row],[ENTRADAS MARZO 2021]]</f>
        <v>100</v>
      </c>
      <c r="W103" s="121">
        <f>+Tabla1[[#This Row],[STOCK MARZO 2021]]-Tabla1[[#This Row],[REQUISICIONES ABRIL 2021]]+Tabla1[[#This Row],[ENTRADAS ABRIL 2021]]</f>
        <v>100</v>
      </c>
      <c r="X103" s="121">
        <f>+Tabla1[[#This Row],[STOCK ABRIL 2021]]-Tabla1[[#This Row],[REQUISICIONES MAYO 2021]]+Tabla1[[#This Row],[ENTRADAS MAYO 2021]]</f>
        <v>100</v>
      </c>
      <c r="Y103" s="121">
        <f>+Tabla1[[#This Row],[STOCK MAYO 2021]]-Tabla1[[#This Row],[REQUISICIONES JUNIO 2021]]+Tabla1[[#This Row],[ENTRADAS JUNIO 2021]]</f>
        <v>100</v>
      </c>
      <c r="Z103" s="33" t="s">
        <v>12</v>
      </c>
      <c r="AA103" s="122">
        <v>19.5</v>
      </c>
      <c r="AB103" s="93">
        <f t="shared" si="1"/>
        <v>23.009999999999998</v>
      </c>
      <c r="AC103" s="93">
        <f>Tabla1[[#This Row],[STOCK JUNIO ]]*Tabla1[[#This Row],[COSTO UNITARIO SIN ITBIS]]</f>
        <v>1950</v>
      </c>
    </row>
    <row r="104" spans="1:29" s="8" customFormat="1" x14ac:dyDescent="0.25">
      <c r="A104" s="261">
        <v>95</v>
      </c>
      <c r="B104" s="117">
        <v>44312</v>
      </c>
      <c r="C104" s="34" t="s">
        <v>11</v>
      </c>
      <c r="D104" s="117">
        <v>44301</v>
      </c>
      <c r="E104" s="138" t="s">
        <v>739</v>
      </c>
      <c r="F104" s="197"/>
      <c r="G104" s="48" t="s">
        <v>752</v>
      </c>
      <c r="H104" s="120"/>
      <c r="I104" s="120"/>
      <c r="J104" s="126">
        <f>+'INVENTARIO ABRIL-JUNIO 2021'!$H104-'INVENTARIO ABRIL-JUNIO 2021'!$I104</f>
        <v>0</v>
      </c>
      <c r="K104" s="120"/>
      <c r="L104" s="120"/>
      <c r="M104" s="120">
        <v>156</v>
      </c>
      <c r="N104" s="120"/>
      <c r="O104" s="121"/>
      <c r="P104" s="120"/>
      <c r="Q104" s="120"/>
      <c r="R104" s="120"/>
      <c r="S104" s="120"/>
      <c r="T104" s="120"/>
      <c r="U104" s="121">
        <f>+Tabla1[[#This Row],[STOCK    FISICO ENERO 2021]]-Tabla1[[#This Row],[REQUISICIONES FEBRERO 2021]]</f>
        <v>0</v>
      </c>
      <c r="V104" s="121">
        <f>+Tabla1[[#This Row],[STOCK  FEBRERO 2021]]-Tabla1[[#This Row],[REQUISICIONES MARZO 2021]]+Tabla1[[#This Row],[ENTRADAS MARZO 2021]]</f>
        <v>0</v>
      </c>
      <c r="W104" s="121">
        <f>+Tabla1[[#This Row],[STOCK MARZO 2021]]-Tabla1[[#This Row],[REQUISICIONES ABRIL 2021]]+Tabla1[[#This Row],[ENTRADAS ABRIL 2021]]</f>
        <v>156</v>
      </c>
      <c r="X104" s="121">
        <f>+Tabla1[[#This Row],[STOCK ABRIL 2021]]-Tabla1[[#This Row],[REQUISICIONES MAYO 2021]]+Tabla1[[#This Row],[ENTRADAS MAYO 2021]]</f>
        <v>156</v>
      </c>
      <c r="Y104" s="121">
        <f>+Tabla1[[#This Row],[STOCK MAYO 2021]]-Tabla1[[#This Row],[REQUISICIONES JUNIO 2021]]+Tabla1[[#This Row],[ENTRADAS JUNIO 2021]]</f>
        <v>156</v>
      </c>
      <c r="Z104" s="30" t="s">
        <v>12</v>
      </c>
      <c r="AA104" s="122"/>
      <c r="AB104" s="123"/>
      <c r="AC104" s="93">
        <f>Tabla1[[#This Row],[STOCK JUNIO ]]*Tabla1[[#This Row],[COSTO UNITARIO SIN ITBIS]]</f>
        <v>0</v>
      </c>
    </row>
    <row r="105" spans="1:29" s="12" customFormat="1" x14ac:dyDescent="0.25">
      <c r="A105" s="261">
        <v>96</v>
      </c>
      <c r="B105" s="31">
        <v>43671</v>
      </c>
      <c r="C105" s="28" t="s">
        <v>11</v>
      </c>
      <c r="D105" s="31">
        <v>43671</v>
      </c>
      <c r="E105" s="137"/>
      <c r="F105" s="28">
        <v>1358</v>
      </c>
      <c r="G105" s="38" t="s">
        <v>77</v>
      </c>
      <c r="H105" s="33">
        <v>64</v>
      </c>
      <c r="I105" s="33"/>
      <c r="J105" s="33">
        <f>+'INVENTARIO ABRIL-JUNIO 2021'!$H105-'INVENTARIO ABRIL-JUNIO 2021'!$I105</f>
        <v>64</v>
      </c>
      <c r="K105" s="33"/>
      <c r="L105" s="33"/>
      <c r="M105" s="33"/>
      <c r="N105" s="33"/>
      <c r="O105" s="167"/>
      <c r="P105" s="33">
        <v>3</v>
      </c>
      <c r="Q105" s="33"/>
      <c r="R105" s="33"/>
      <c r="S105" s="33">
        <f>1+1+4</f>
        <v>6</v>
      </c>
      <c r="T105" s="33">
        <v>2</v>
      </c>
      <c r="U105" s="33">
        <f>+Tabla1[[#This Row],[STOCK    FISICO ENERO 2021]]-Tabla1[[#This Row],[REQUISICIONES FEBRERO 2021]]</f>
        <v>61</v>
      </c>
      <c r="V105" s="33">
        <f>+Tabla1[[#This Row],[STOCK  FEBRERO 2021]]-Tabla1[[#This Row],[REQUISICIONES MARZO 2021]]+Tabla1[[#This Row],[ENTRADAS MARZO 2021]]</f>
        <v>61</v>
      </c>
      <c r="W105" s="33">
        <f>+Tabla1[[#This Row],[STOCK MARZO 2021]]-Tabla1[[#This Row],[REQUISICIONES ABRIL 2021]]+Tabla1[[#This Row],[ENTRADAS ABRIL 2021]]</f>
        <v>61</v>
      </c>
      <c r="X105" s="33">
        <f>+Tabla1[[#This Row],[STOCK ABRIL 2021]]-Tabla1[[#This Row],[REQUISICIONES MAYO 2021]]+Tabla1[[#This Row],[ENTRADAS MAYO 2021]]</f>
        <v>55</v>
      </c>
      <c r="Y105" s="33">
        <f>+Tabla1[[#This Row],[STOCK MAYO 2021]]-Tabla1[[#This Row],[REQUISICIONES JUNIO 2021]]+Tabla1[[#This Row],[ENTRADAS JUNIO 2021]]</f>
        <v>53</v>
      </c>
      <c r="Z105" s="30" t="s">
        <v>12</v>
      </c>
      <c r="AA105" s="34">
        <v>180.54</v>
      </c>
      <c r="AB105" s="35">
        <f t="shared" si="1"/>
        <v>213.03719999999998</v>
      </c>
      <c r="AC105" s="93">
        <f>Tabla1[[#This Row],[STOCK JUNIO ]]*Tabla1[[#This Row],[COSTO UNITARIO SIN ITBIS]]</f>
        <v>9568.619999999999</v>
      </c>
    </row>
    <row r="106" spans="1:29" s="8" customFormat="1" x14ac:dyDescent="0.25">
      <c r="A106" s="261">
        <v>97</v>
      </c>
      <c r="B106" s="31">
        <v>43671</v>
      </c>
      <c r="C106" s="28" t="s">
        <v>11</v>
      </c>
      <c r="D106" s="31">
        <v>43671</v>
      </c>
      <c r="E106" s="137"/>
      <c r="F106" s="28">
        <v>1359</v>
      </c>
      <c r="G106" s="38" t="s">
        <v>78</v>
      </c>
      <c r="H106" s="33">
        <f>86+25</f>
        <v>111</v>
      </c>
      <c r="I106" s="33"/>
      <c r="J106" s="33">
        <f>+'INVENTARIO ABRIL-JUNIO 2021'!$H106-'INVENTARIO ABRIL-JUNIO 2021'!$I106</f>
        <v>111</v>
      </c>
      <c r="K106" s="33"/>
      <c r="L106" s="33"/>
      <c r="M106" s="33"/>
      <c r="N106" s="33"/>
      <c r="O106" s="167"/>
      <c r="P106" s="33">
        <f>1+3</f>
        <v>4</v>
      </c>
      <c r="Q106" s="33"/>
      <c r="R106" s="33">
        <f>4+1+1</f>
        <v>6</v>
      </c>
      <c r="S106" s="33">
        <f>3+4+4</f>
        <v>11</v>
      </c>
      <c r="T106" s="33">
        <v>2</v>
      </c>
      <c r="U106" s="33">
        <f>+Tabla1[[#This Row],[STOCK    FISICO ENERO 2021]]-Tabla1[[#This Row],[REQUISICIONES FEBRERO 2021]]</f>
        <v>107</v>
      </c>
      <c r="V106" s="33">
        <f>+Tabla1[[#This Row],[STOCK  FEBRERO 2021]]-Tabla1[[#This Row],[REQUISICIONES MARZO 2021]]+Tabla1[[#This Row],[ENTRADAS MARZO 2021]]</f>
        <v>107</v>
      </c>
      <c r="W106" s="33">
        <f>+Tabla1[[#This Row],[STOCK MARZO 2021]]-Tabla1[[#This Row],[REQUISICIONES ABRIL 2021]]+Tabla1[[#This Row],[ENTRADAS ABRIL 2021]]</f>
        <v>101</v>
      </c>
      <c r="X106" s="33">
        <f>+Tabla1[[#This Row],[STOCK ABRIL 2021]]-Tabla1[[#This Row],[REQUISICIONES MAYO 2021]]+Tabla1[[#This Row],[ENTRADAS MAYO 2021]]</f>
        <v>90</v>
      </c>
      <c r="Y106" s="33">
        <f>+Tabla1[[#This Row],[STOCK MAYO 2021]]-Tabla1[[#This Row],[REQUISICIONES JUNIO 2021]]+Tabla1[[#This Row],[ENTRADAS JUNIO 2021]]</f>
        <v>88</v>
      </c>
      <c r="Z106" s="30" t="s">
        <v>12</v>
      </c>
      <c r="AA106" s="34">
        <v>243</v>
      </c>
      <c r="AB106" s="35">
        <f t="shared" ref="AB106:AB152" si="2">AA106*0.18+AA106</f>
        <v>286.74</v>
      </c>
      <c r="AC106" s="93">
        <f>Tabla1[[#This Row],[STOCK JUNIO ]]*Tabla1[[#This Row],[COSTO UNITARIO SIN ITBIS]]</f>
        <v>21384</v>
      </c>
    </row>
    <row r="107" spans="1:29" s="11" customFormat="1" x14ac:dyDescent="0.25">
      <c r="A107" s="261">
        <v>98</v>
      </c>
      <c r="B107" s="31">
        <v>44285</v>
      </c>
      <c r="C107" s="28"/>
      <c r="D107" s="31">
        <v>44285</v>
      </c>
      <c r="E107" s="137" t="s">
        <v>739</v>
      </c>
      <c r="F107" s="28"/>
      <c r="G107" s="32" t="s">
        <v>746</v>
      </c>
      <c r="H107" s="63"/>
      <c r="I107" s="63"/>
      <c r="J107" s="126">
        <f>+'INVENTARIO ABRIL-JUNIO 2021'!$H107-'INVENTARIO ABRIL-JUNIO 2021'!$I107</f>
        <v>0</v>
      </c>
      <c r="K107" s="63"/>
      <c r="L107" s="63">
        <v>1</v>
      </c>
      <c r="M107" s="63"/>
      <c r="N107" s="63"/>
      <c r="O107" s="125"/>
      <c r="P107" s="63"/>
      <c r="Q107" s="63"/>
      <c r="R107" s="63">
        <v>1</v>
      </c>
      <c r="S107" s="63"/>
      <c r="T107" s="63"/>
      <c r="U107" s="125">
        <f>+Tabla1[[#This Row],[STOCK    FISICO ENERO 2021]]-Tabla1[[#This Row],[REQUISICIONES FEBRERO 2021]]</f>
        <v>0</v>
      </c>
      <c r="V107" s="125">
        <f>+Tabla1[[#This Row],[STOCK  FEBRERO 2021]]-Tabla1[[#This Row],[REQUISICIONES MARZO 2021]]+Tabla1[[#This Row],[ENTRADAS MARZO 2021]]</f>
        <v>1</v>
      </c>
      <c r="W107" s="125">
        <f>+Tabla1[[#This Row],[STOCK MARZO 2021]]-Tabla1[[#This Row],[REQUISICIONES ABRIL 2021]]+Tabla1[[#This Row],[ENTRADAS ABRIL 2021]]</f>
        <v>0</v>
      </c>
      <c r="X107" s="125">
        <f>+Tabla1[[#This Row],[STOCK ABRIL 2021]]-Tabla1[[#This Row],[REQUISICIONES MAYO 2021]]+Tabla1[[#This Row],[ENTRADAS MAYO 2021]]</f>
        <v>0</v>
      </c>
      <c r="Y107" s="125">
        <f>+Tabla1[[#This Row],[STOCK MAYO 2021]]-Tabla1[[#This Row],[REQUISICIONES JUNIO 2021]]+Tabla1[[#This Row],[ENTRADAS JUNIO 2021]]</f>
        <v>0</v>
      </c>
      <c r="Z107" s="30" t="s">
        <v>12</v>
      </c>
      <c r="AA107" s="34">
        <v>3165</v>
      </c>
      <c r="AB107" s="93" t="s">
        <v>747</v>
      </c>
      <c r="AC107" s="93">
        <f>Tabla1[[#This Row],[STOCK JUNIO ]]*Tabla1[[#This Row],[COSTO UNITARIO SIN ITBIS]]</f>
        <v>0</v>
      </c>
    </row>
    <row r="108" spans="1:29" s="12" customFormat="1" x14ac:dyDescent="0.25">
      <c r="A108" s="261">
        <v>99</v>
      </c>
      <c r="B108" s="42">
        <v>43671</v>
      </c>
      <c r="C108" s="41" t="s">
        <v>11</v>
      </c>
      <c r="D108" s="42">
        <v>43671</v>
      </c>
      <c r="E108" s="139"/>
      <c r="F108" s="43">
        <v>1131</v>
      </c>
      <c r="G108" s="40" t="s">
        <v>79</v>
      </c>
      <c r="H108" s="40">
        <v>383</v>
      </c>
      <c r="I108" s="40"/>
      <c r="J108" s="40">
        <f>+'INVENTARIO ABRIL-JUNIO 2021'!$H108-'INVENTARIO ABRIL-JUNIO 2021'!$I108</f>
        <v>383</v>
      </c>
      <c r="K108" s="40"/>
      <c r="L108" s="40"/>
      <c r="M108" s="40"/>
      <c r="N108" s="40"/>
      <c r="O108" s="168"/>
      <c r="P108" s="40"/>
      <c r="Q108" s="40">
        <v>2</v>
      </c>
      <c r="R108" s="40">
        <v>6</v>
      </c>
      <c r="S108" s="40">
        <f>2+2+18</f>
        <v>22</v>
      </c>
      <c r="T108" s="40">
        <f>6+1</f>
        <v>7</v>
      </c>
      <c r="U108" s="40">
        <f>+Tabla1[[#This Row],[STOCK    FISICO ENERO 2021]]-Tabla1[[#This Row],[REQUISICIONES FEBRERO 2021]]</f>
        <v>383</v>
      </c>
      <c r="V108" s="40">
        <f>+Tabla1[[#This Row],[STOCK  FEBRERO 2021]]-Tabla1[[#This Row],[REQUISICIONES MARZO 2021]]+Tabla1[[#This Row],[ENTRADAS MARZO 2021]]</f>
        <v>381</v>
      </c>
      <c r="W108" s="40">
        <f>+Tabla1[[#This Row],[STOCK MARZO 2021]]-Tabla1[[#This Row],[REQUISICIONES ABRIL 2021]]+Tabla1[[#This Row],[ENTRADAS ABRIL 2021]]</f>
        <v>375</v>
      </c>
      <c r="X108" s="40">
        <f>+Tabla1[[#This Row],[STOCK ABRIL 2021]]-Tabla1[[#This Row],[REQUISICIONES MAYO 2021]]+Tabla1[[#This Row],[ENTRADAS MAYO 2021]]</f>
        <v>353</v>
      </c>
      <c r="Y108" s="40">
        <f>+Tabla1[[#This Row],[STOCK MAYO 2021]]-Tabla1[[#This Row],[REQUISICIONES JUNIO 2021]]+Tabla1[[#This Row],[ENTRADAS JUNIO 2021]]</f>
        <v>346</v>
      </c>
      <c r="Z108" s="40" t="s">
        <v>80</v>
      </c>
      <c r="AA108" s="45">
        <v>10</v>
      </c>
      <c r="AB108" s="35">
        <f t="shared" si="2"/>
        <v>11.8</v>
      </c>
      <c r="AC108" s="93">
        <f>Tabla1[[#This Row],[STOCK JUNIO ]]*Tabla1[[#This Row],[COSTO UNITARIO SIN ITBIS]]</f>
        <v>3460</v>
      </c>
    </row>
    <row r="109" spans="1:29" s="8" customFormat="1" x14ac:dyDescent="0.25">
      <c r="A109" s="261">
        <v>100</v>
      </c>
      <c r="B109" s="42">
        <v>43671</v>
      </c>
      <c r="C109" s="41" t="s">
        <v>11</v>
      </c>
      <c r="D109" s="42">
        <v>43671</v>
      </c>
      <c r="E109" s="139"/>
      <c r="F109" s="43">
        <v>1132</v>
      </c>
      <c r="G109" s="40" t="s">
        <v>81</v>
      </c>
      <c r="H109" s="40">
        <v>329</v>
      </c>
      <c r="I109" s="40"/>
      <c r="J109" s="40">
        <f>+'INVENTARIO ABRIL-JUNIO 2021'!$H109-'INVENTARIO ABRIL-JUNIO 2021'!$I109</f>
        <v>329</v>
      </c>
      <c r="K109" s="40"/>
      <c r="L109" s="40"/>
      <c r="M109" s="40"/>
      <c r="N109" s="40"/>
      <c r="O109" s="168"/>
      <c r="P109" s="40">
        <f>5+3</f>
        <v>8</v>
      </c>
      <c r="Q109" s="40">
        <f>5+2+3</f>
        <v>10</v>
      </c>
      <c r="R109" s="40">
        <f>4+6+2+1+3</f>
        <v>16</v>
      </c>
      <c r="S109" s="40">
        <f>1+2+2+18+5</f>
        <v>28</v>
      </c>
      <c r="T109" s="40">
        <f>6+3+1</f>
        <v>10</v>
      </c>
      <c r="U109" s="40">
        <f>+Tabla1[[#This Row],[STOCK    FISICO ENERO 2021]]-Tabla1[[#This Row],[REQUISICIONES FEBRERO 2021]]</f>
        <v>321</v>
      </c>
      <c r="V109" s="40">
        <f>+Tabla1[[#This Row],[STOCK  FEBRERO 2021]]-Tabla1[[#This Row],[REQUISICIONES MARZO 2021]]+Tabla1[[#This Row],[ENTRADAS MARZO 2021]]</f>
        <v>311</v>
      </c>
      <c r="W109" s="40">
        <f>+Tabla1[[#This Row],[STOCK MARZO 2021]]-Tabla1[[#This Row],[REQUISICIONES ABRIL 2021]]+Tabla1[[#This Row],[ENTRADAS ABRIL 2021]]</f>
        <v>295</v>
      </c>
      <c r="X109" s="40">
        <f>+Tabla1[[#This Row],[STOCK ABRIL 2021]]-Tabla1[[#This Row],[REQUISICIONES MAYO 2021]]+Tabla1[[#This Row],[ENTRADAS MAYO 2021]]</f>
        <v>267</v>
      </c>
      <c r="Y109" s="40">
        <f>+Tabla1[[#This Row],[STOCK MAYO 2021]]-Tabla1[[#This Row],[REQUISICIONES JUNIO 2021]]+Tabla1[[#This Row],[ENTRADAS JUNIO 2021]]</f>
        <v>257</v>
      </c>
      <c r="Z109" s="40" t="s">
        <v>12</v>
      </c>
      <c r="AA109" s="45">
        <v>10</v>
      </c>
      <c r="AB109" s="35">
        <f t="shared" si="2"/>
        <v>11.8</v>
      </c>
      <c r="AC109" s="93">
        <f>Tabla1[[#This Row],[STOCK JUNIO ]]*Tabla1[[#This Row],[COSTO UNITARIO SIN ITBIS]]</f>
        <v>2570</v>
      </c>
    </row>
    <row r="110" spans="1:29" s="8" customFormat="1" x14ac:dyDescent="0.25">
      <c r="A110" s="261">
        <v>101</v>
      </c>
      <c r="B110" s="42">
        <v>43671</v>
      </c>
      <c r="C110" s="41" t="s">
        <v>11</v>
      </c>
      <c r="D110" s="42">
        <v>43671</v>
      </c>
      <c r="E110" s="139"/>
      <c r="F110" s="43">
        <v>1133</v>
      </c>
      <c r="G110" s="40" t="s">
        <v>82</v>
      </c>
      <c r="H110" s="40">
        <v>508</v>
      </c>
      <c r="I110" s="40"/>
      <c r="J110" s="40">
        <f>+'INVENTARIO ABRIL-JUNIO 2021'!$H110-'INVENTARIO ABRIL-JUNIO 2021'!$I110</f>
        <v>508</v>
      </c>
      <c r="K110" s="40"/>
      <c r="L110" s="40"/>
      <c r="M110" s="40"/>
      <c r="N110" s="40"/>
      <c r="O110" s="168"/>
      <c r="P110" s="40"/>
      <c r="Q110" s="40"/>
      <c r="R110" s="40">
        <f>1+3</f>
        <v>4</v>
      </c>
      <c r="S110" s="40">
        <v>2</v>
      </c>
      <c r="T110" s="40">
        <v>1</v>
      </c>
      <c r="U110" s="40">
        <f>+Tabla1[[#This Row],[STOCK    FISICO ENERO 2021]]-Tabla1[[#This Row],[REQUISICIONES FEBRERO 2021]]</f>
        <v>508</v>
      </c>
      <c r="V110" s="40">
        <f>+Tabla1[[#This Row],[STOCK  FEBRERO 2021]]-Tabla1[[#This Row],[REQUISICIONES MARZO 2021]]+Tabla1[[#This Row],[ENTRADAS MARZO 2021]]</f>
        <v>508</v>
      </c>
      <c r="W110" s="40">
        <f>+Tabla1[[#This Row],[STOCK MARZO 2021]]-Tabla1[[#This Row],[REQUISICIONES ABRIL 2021]]+Tabla1[[#This Row],[ENTRADAS ABRIL 2021]]</f>
        <v>504</v>
      </c>
      <c r="X110" s="40">
        <f>+Tabla1[[#This Row],[STOCK ABRIL 2021]]-Tabla1[[#This Row],[REQUISICIONES MAYO 2021]]+Tabla1[[#This Row],[ENTRADAS MAYO 2021]]</f>
        <v>502</v>
      </c>
      <c r="Y110" s="40">
        <f>+Tabla1[[#This Row],[STOCK MAYO 2021]]-Tabla1[[#This Row],[REQUISICIONES JUNIO 2021]]+Tabla1[[#This Row],[ENTRADAS JUNIO 2021]]</f>
        <v>501</v>
      </c>
      <c r="Z110" s="40" t="s">
        <v>12</v>
      </c>
      <c r="AA110" s="45">
        <v>10</v>
      </c>
      <c r="AB110" s="35">
        <f t="shared" si="2"/>
        <v>11.8</v>
      </c>
      <c r="AC110" s="93">
        <f>Tabla1[[#This Row],[STOCK JUNIO ]]*Tabla1[[#This Row],[COSTO UNITARIO SIN ITBIS]]</f>
        <v>5010</v>
      </c>
    </row>
    <row r="111" spans="1:29" s="8" customFormat="1" x14ac:dyDescent="0.25">
      <c r="A111" s="261">
        <v>102</v>
      </c>
      <c r="B111" s="31">
        <v>44109</v>
      </c>
      <c r="C111" s="41" t="s">
        <v>11</v>
      </c>
      <c r="D111" s="31">
        <v>44109</v>
      </c>
      <c r="E111" s="137"/>
      <c r="F111" s="44" t="s">
        <v>20</v>
      </c>
      <c r="G111" s="32" t="s">
        <v>83</v>
      </c>
      <c r="H111" s="46">
        <v>52</v>
      </c>
      <c r="I111" s="46">
        <v>1</v>
      </c>
      <c r="J111" s="46">
        <f>+'INVENTARIO ABRIL-JUNIO 2021'!$H111-'INVENTARIO ABRIL-JUNIO 2021'!$I111</f>
        <v>51</v>
      </c>
      <c r="K111" s="46"/>
      <c r="L111" s="46"/>
      <c r="M111" s="46"/>
      <c r="N111" s="46"/>
      <c r="O111" s="167"/>
      <c r="P111" s="46">
        <f>5+5+5+2+2</f>
        <v>19</v>
      </c>
      <c r="Q111" s="46">
        <f>1+1</f>
        <v>2</v>
      </c>
      <c r="R111" s="46">
        <f>2+2+3+1+3</f>
        <v>11</v>
      </c>
      <c r="S111" s="46"/>
      <c r="T111" s="46"/>
      <c r="U111" s="46">
        <f>+Tabla1[[#This Row],[STOCK    FISICO ENERO 2021]]-Tabla1[[#This Row],[REQUISICIONES FEBRERO 2021]]</f>
        <v>32</v>
      </c>
      <c r="V111" s="46">
        <f>+Tabla1[[#This Row],[STOCK  FEBRERO 2021]]-Tabla1[[#This Row],[REQUISICIONES MARZO 2021]]+Tabla1[[#This Row],[ENTRADAS MARZO 2021]]</f>
        <v>30</v>
      </c>
      <c r="W111" s="46">
        <f>+Tabla1[[#This Row],[STOCK MARZO 2021]]-Tabla1[[#This Row],[REQUISICIONES ABRIL 2021]]+Tabla1[[#This Row],[ENTRADAS ABRIL 2021]]</f>
        <v>19</v>
      </c>
      <c r="X111" s="46">
        <f>+Tabla1[[#This Row],[STOCK ABRIL 2021]]-Tabla1[[#This Row],[REQUISICIONES MAYO 2021]]+Tabla1[[#This Row],[ENTRADAS MAYO 2021]]</f>
        <v>19</v>
      </c>
      <c r="Y111" s="46">
        <f>+Tabla1[[#This Row],[STOCK MAYO 2021]]-Tabla1[[#This Row],[REQUISICIONES JUNIO 2021]]+Tabla1[[#This Row],[ENTRADAS JUNIO 2021]]</f>
        <v>19</v>
      </c>
      <c r="Z111" s="30" t="s">
        <v>12</v>
      </c>
      <c r="AA111" s="45">
        <v>10.6</v>
      </c>
      <c r="AB111" s="35">
        <f t="shared" si="2"/>
        <v>12.507999999999999</v>
      </c>
      <c r="AC111" s="93">
        <f>Tabla1[[#This Row],[STOCK JUNIO ]]*Tabla1[[#This Row],[COSTO UNITARIO SIN ITBIS]]</f>
        <v>201.4</v>
      </c>
    </row>
    <row r="112" spans="1:29" s="8" customFormat="1" x14ac:dyDescent="0.25">
      <c r="A112" s="261">
        <v>103</v>
      </c>
      <c r="B112" s="117">
        <v>44286</v>
      </c>
      <c r="C112" s="41" t="s">
        <v>11</v>
      </c>
      <c r="D112" s="117">
        <v>44286</v>
      </c>
      <c r="E112" s="138" t="s">
        <v>755</v>
      </c>
      <c r="F112" s="134"/>
      <c r="G112" s="32" t="s">
        <v>83</v>
      </c>
      <c r="H112" s="126"/>
      <c r="I112" s="126"/>
      <c r="J112" s="126">
        <f>+'INVENTARIO ABRIL-JUNIO 2021'!$H112-'INVENTARIO ABRIL-JUNIO 2021'!$I112</f>
        <v>0</v>
      </c>
      <c r="K112" s="126"/>
      <c r="L112" s="126">
        <v>48</v>
      </c>
      <c r="M112" s="126"/>
      <c r="N112" s="126"/>
      <c r="O112" s="121"/>
      <c r="P112" s="126"/>
      <c r="Q112" s="126"/>
      <c r="R112" s="126"/>
      <c r="S112" s="126"/>
      <c r="T112" s="126"/>
      <c r="U112" s="121">
        <f>+Tabla1[[#This Row],[STOCK    FISICO ENERO 2021]]-Tabla1[[#This Row],[REQUISICIONES FEBRERO 2021]]</f>
        <v>0</v>
      </c>
      <c r="V112" s="121">
        <f>+Tabla1[[#This Row],[STOCK  FEBRERO 2021]]-Tabla1[[#This Row],[REQUISICIONES MARZO 2021]]+Tabla1[[#This Row],[ENTRADAS MARZO 2021]]</f>
        <v>48</v>
      </c>
      <c r="W112" s="121">
        <f>+Tabla1[[#This Row],[STOCK MARZO 2021]]-Tabla1[[#This Row],[REQUISICIONES ABRIL 2021]]+Tabla1[[#This Row],[ENTRADAS ABRIL 2021]]</f>
        <v>48</v>
      </c>
      <c r="X112" s="121">
        <f>+Tabla1[[#This Row],[STOCK ABRIL 2021]]-Tabla1[[#This Row],[REQUISICIONES MAYO 2021]]+Tabla1[[#This Row],[ENTRADAS MAYO 2021]]</f>
        <v>48</v>
      </c>
      <c r="Y112" s="121">
        <f>+Tabla1[[#This Row],[STOCK MAYO 2021]]-Tabla1[[#This Row],[REQUISICIONES JUNIO 2021]]+Tabla1[[#This Row],[ENTRADAS JUNIO 2021]]</f>
        <v>48</v>
      </c>
      <c r="Z112" s="30" t="s">
        <v>12</v>
      </c>
      <c r="AA112" s="122">
        <v>12</v>
      </c>
      <c r="AB112" s="93">
        <f t="shared" si="2"/>
        <v>14.16</v>
      </c>
      <c r="AC112" s="93">
        <f>Tabla1[[#This Row],[STOCK JUNIO ]]*Tabla1[[#This Row],[COSTO UNITARIO SIN ITBIS]]</f>
        <v>576</v>
      </c>
    </row>
    <row r="113" spans="1:29" s="8" customFormat="1" x14ac:dyDescent="0.25">
      <c r="A113" s="261">
        <v>104</v>
      </c>
      <c r="B113" s="31">
        <v>44109</v>
      </c>
      <c r="C113" s="41" t="s">
        <v>11</v>
      </c>
      <c r="D113" s="31">
        <v>44109</v>
      </c>
      <c r="E113" s="137"/>
      <c r="F113" s="44" t="s">
        <v>20</v>
      </c>
      <c r="G113" s="32" t="s">
        <v>84</v>
      </c>
      <c r="H113" s="46">
        <v>27</v>
      </c>
      <c r="I113" s="46"/>
      <c r="J113" s="46">
        <f>+'INVENTARIO ABRIL-JUNIO 2021'!$H113-'INVENTARIO ABRIL-JUNIO 2021'!$I113</f>
        <v>27</v>
      </c>
      <c r="K113" s="46"/>
      <c r="L113" s="46"/>
      <c r="M113" s="46"/>
      <c r="N113" s="46"/>
      <c r="O113" s="167"/>
      <c r="P113" s="46">
        <f>3+2+2+2</f>
        <v>9</v>
      </c>
      <c r="Q113" s="46">
        <v>2</v>
      </c>
      <c r="R113" s="46">
        <f>1+3</f>
        <v>4</v>
      </c>
      <c r="S113" s="46">
        <v>1</v>
      </c>
      <c r="T113" s="46"/>
      <c r="U113" s="46">
        <f>+Tabla1[[#This Row],[STOCK    FISICO ENERO 2021]]-Tabla1[[#This Row],[REQUISICIONES FEBRERO 2021]]</f>
        <v>18</v>
      </c>
      <c r="V113" s="46">
        <f>+Tabla1[[#This Row],[STOCK  FEBRERO 2021]]-Tabla1[[#This Row],[REQUISICIONES MARZO 2021]]+Tabla1[[#This Row],[ENTRADAS MARZO 2021]]</f>
        <v>16</v>
      </c>
      <c r="W113" s="46">
        <f>+Tabla1[[#This Row],[STOCK MARZO 2021]]-Tabla1[[#This Row],[REQUISICIONES ABRIL 2021]]+Tabla1[[#This Row],[ENTRADAS ABRIL 2021]]</f>
        <v>12</v>
      </c>
      <c r="X113" s="46">
        <f>+Tabla1[[#This Row],[STOCK ABRIL 2021]]-Tabla1[[#This Row],[REQUISICIONES MAYO 2021]]+Tabla1[[#This Row],[ENTRADAS MAYO 2021]]</f>
        <v>11</v>
      </c>
      <c r="Y113" s="46">
        <f>+Tabla1[[#This Row],[STOCK MAYO 2021]]-Tabla1[[#This Row],[REQUISICIONES JUNIO 2021]]+Tabla1[[#This Row],[ENTRADAS JUNIO 2021]]</f>
        <v>11</v>
      </c>
      <c r="Z113" s="30" t="s">
        <v>12</v>
      </c>
      <c r="AA113" s="45">
        <v>10.6</v>
      </c>
      <c r="AB113" s="35">
        <f t="shared" si="2"/>
        <v>12.507999999999999</v>
      </c>
      <c r="AC113" s="93">
        <f>Tabla1[[#This Row],[STOCK JUNIO ]]*Tabla1[[#This Row],[COSTO UNITARIO SIN ITBIS]]</f>
        <v>116.6</v>
      </c>
    </row>
    <row r="114" spans="1:29" s="8" customFormat="1" x14ac:dyDescent="0.25">
      <c r="A114" s="261">
        <v>105</v>
      </c>
      <c r="B114" s="117">
        <v>44286</v>
      </c>
      <c r="C114" s="41" t="s">
        <v>11</v>
      </c>
      <c r="D114" s="117">
        <v>44286</v>
      </c>
      <c r="E114" s="138" t="s">
        <v>755</v>
      </c>
      <c r="F114" s="134"/>
      <c r="G114" s="32" t="s">
        <v>84</v>
      </c>
      <c r="H114" s="126"/>
      <c r="I114" s="126"/>
      <c r="J114" s="126">
        <f>+'INVENTARIO ABRIL-JUNIO 2021'!$H114-'INVENTARIO ABRIL-JUNIO 2021'!$I114</f>
        <v>0</v>
      </c>
      <c r="K114" s="126"/>
      <c r="L114" s="126">
        <v>50</v>
      </c>
      <c r="M114" s="126"/>
      <c r="N114" s="126"/>
      <c r="O114" s="121"/>
      <c r="P114" s="126"/>
      <c r="Q114" s="126"/>
      <c r="R114" s="126"/>
      <c r="S114" s="126"/>
      <c r="T114" s="126"/>
      <c r="U114" s="121">
        <f>+Tabla1[[#This Row],[STOCK    FISICO ENERO 2021]]-Tabla1[[#This Row],[REQUISICIONES FEBRERO 2021]]</f>
        <v>0</v>
      </c>
      <c r="V114" s="121">
        <f>+Tabla1[[#This Row],[STOCK  FEBRERO 2021]]-Tabla1[[#This Row],[REQUISICIONES MARZO 2021]]+Tabla1[[#This Row],[ENTRADAS MARZO 2021]]</f>
        <v>50</v>
      </c>
      <c r="W114" s="121">
        <f>+Tabla1[[#This Row],[STOCK MARZO 2021]]-Tabla1[[#This Row],[REQUISICIONES ABRIL 2021]]+Tabla1[[#This Row],[ENTRADAS ABRIL 2021]]</f>
        <v>50</v>
      </c>
      <c r="X114" s="121">
        <f>+Tabla1[[#This Row],[STOCK ABRIL 2021]]-Tabla1[[#This Row],[REQUISICIONES MAYO 2021]]+Tabla1[[#This Row],[ENTRADAS MAYO 2021]]</f>
        <v>50</v>
      </c>
      <c r="Y114" s="121">
        <f>+Tabla1[[#This Row],[STOCK MAYO 2021]]-Tabla1[[#This Row],[REQUISICIONES JUNIO 2021]]+Tabla1[[#This Row],[ENTRADAS JUNIO 2021]]</f>
        <v>50</v>
      </c>
      <c r="Z114" s="30" t="s">
        <v>12</v>
      </c>
      <c r="AA114" s="122">
        <v>12</v>
      </c>
      <c r="AB114" s="93">
        <f t="shared" si="2"/>
        <v>14.16</v>
      </c>
      <c r="AC114" s="93">
        <f>Tabla1[[#This Row],[STOCK JUNIO ]]*Tabla1[[#This Row],[COSTO UNITARIO SIN ITBIS]]</f>
        <v>600</v>
      </c>
    </row>
    <row r="115" spans="1:29" s="8" customFormat="1" x14ac:dyDescent="0.25">
      <c r="A115" s="261">
        <v>106</v>
      </c>
      <c r="B115" s="31">
        <v>44109</v>
      </c>
      <c r="C115" s="28" t="s">
        <v>11</v>
      </c>
      <c r="D115" s="31">
        <v>44109</v>
      </c>
      <c r="E115" s="137"/>
      <c r="F115" s="44" t="s">
        <v>20</v>
      </c>
      <c r="G115" s="32" t="s">
        <v>85</v>
      </c>
      <c r="H115" s="46">
        <v>24</v>
      </c>
      <c r="I115" s="46"/>
      <c r="J115" s="46">
        <f>+'INVENTARIO ABRIL-JUNIO 2021'!$H115-'INVENTARIO ABRIL-JUNIO 2021'!$I115</f>
        <v>24</v>
      </c>
      <c r="K115" s="46"/>
      <c r="L115" s="46"/>
      <c r="M115" s="46"/>
      <c r="N115" s="46"/>
      <c r="O115" s="167"/>
      <c r="P115" s="46">
        <f>2+2</f>
        <v>4</v>
      </c>
      <c r="Q115" s="46"/>
      <c r="R115" s="46">
        <v>3</v>
      </c>
      <c r="S115" s="46">
        <v>1</v>
      </c>
      <c r="T115" s="46"/>
      <c r="U115" s="46">
        <f>+Tabla1[[#This Row],[STOCK    FISICO ENERO 2021]]-Tabla1[[#This Row],[REQUISICIONES FEBRERO 2021]]</f>
        <v>20</v>
      </c>
      <c r="V115" s="46">
        <f>+Tabla1[[#This Row],[STOCK  FEBRERO 2021]]-Tabla1[[#This Row],[REQUISICIONES MARZO 2021]]+Tabla1[[#This Row],[ENTRADAS MARZO 2021]]</f>
        <v>20</v>
      </c>
      <c r="W115" s="46">
        <f>+Tabla1[[#This Row],[STOCK MARZO 2021]]-Tabla1[[#This Row],[REQUISICIONES ABRIL 2021]]+Tabla1[[#This Row],[ENTRADAS ABRIL 2021]]</f>
        <v>17</v>
      </c>
      <c r="X115" s="46">
        <f>+Tabla1[[#This Row],[STOCK ABRIL 2021]]-Tabla1[[#This Row],[REQUISICIONES MAYO 2021]]+Tabla1[[#This Row],[ENTRADAS MAYO 2021]]</f>
        <v>16</v>
      </c>
      <c r="Y115" s="46">
        <f>+Tabla1[[#This Row],[STOCK MAYO 2021]]-Tabla1[[#This Row],[REQUISICIONES JUNIO 2021]]+Tabla1[[#This Row],[ENTRADAS JUNIO 2021]]</f>
        <v>16</v>
      </c>
      <c r="Z115" s="30" t="s">
        <v>12</v>
      </c>
      <c r="AA115" s="45">
        <v>10.6</v>
      </c>
      <c r="AB115" s="35">
        <f t="shared" si="2"/>
        <v>12.507999999999999</v>
      </c>
      <c r="AC115" s="93">
        <f>Tabla1[[#This Row],[STOCK JUNIO ]]*Tabla1[[#This Row],[COSTO UNITARIO SIN ITBIS]]</f>
        <v>169.6</v>
      </c>
    </row>
    <row r="116" spans="1:29" s="8" customFormat="1" x14ac:dyDescent="0.25">
      <c r="A116" s="261">
        <v>107</v>
      </c>
      <c r="B116" s="117">
        <v>44286</v>
      </c>
      <c r="C116" s="28" t="s">
        <v>11</v>
      </c>
      <c r="D116" s="117">
        <v>44286</v>
      </c>
      <c r="E116" s="138" t="s">
        <v>755</v>
      </c>
      <c r="F116" s="134"/>
      <c r="G116" s="32" t="s">
        <v>85</v>
      </c>
      <c r="H116" s="126"/>
      <c r="I116" s="126"/>
      <c r="J116" s="126">
        <f>+'INVENTARIO ABRIL-JUNIO 2021'!$H116-'INVENTARIO ABRIL-JUNIO 2021'!$I116</f>
        <v>0</v>
      </c>
      <c r="K116" s="126"/>
      <c r="L116" s="126">
        <v>50</v>
      </c>
      <c r="M116" s="126"/>
      <c r="N116" s="126"/>
      <c r="O116" s="121"/>
      <c r="P116" s="126"/>
      <c r="Q116" s="126"/>
      <c r="R116" s="126"/>
      <c r="S116" s="126"/>
      <c r="T116" s="126"/>
      <c r="U116" s="121">
        <f>+Tabla1[[#This Row],[STOCK    FISICO ENERO 2021]]-Tabla1[[#This Row],[REQUISICIONES FEBRERO 2021]]</f>
        <v>0</v>
      </c>
      <c r="V116" s="121">
        <f>+Tabla1[[#This Row],[STOCK  FEBRERO 2021]]-Tabla1[[#This Row],[REQUISICIONES MARZO 2021]]+Tabla1[[#This Row],[ENTRADAS MARZO 2021]]</f>
        <v>50</v>
      </c>
      <c r="W116" s="121">
        <f>+Tabla1[[#This Row],[STOCK MARZO 2021]]-Tabla1[[#This Row],[REQUISICIONES ABRIL 2021]]+Tabla1[[#This Row],[ENTRADAS ABRIL 2021]]</f>
        <v>50</v>
      </c>
      <c r="X116" s="121">
        <f>+Tabla1[[#This Row],[STOCK ABRIL 2021]]-Tabla1[[#This Row],[REQUISICIONES MAYO 2021]]+Tabla1[[#This Row],[ENTRADAS MAYO 2021]]</f>
        <v>50</v>
      </c>
      <c r="Y116" s="121">
        <f>+Tabla1[[#This Row],[STOCK MAYO 2021]]-Tabla1[[#This Row],[REQUISICIONES JUNIO 2021]]+Tabla1[[#This Row],[ENTRADAS JUNIO 2021]]</f>
        <v>50</v>
      </c>
      <c r="Z116" s="30" t="s">
        <v>12</v>
      </c>
      <c r="AA116" s="122">
        <v>12</v>
      </c>
      <c r="AB116" s="93">
        <f t="shared" si="2"/>
        <v>14.16</v>
      </c>
      <c r="AC116" s="93">
        <f>Tabla1[[#This Row],[STOCK JUNIO ]]*Tabla1[[#This Row],[COSTO UNITARIO SIN ITBIS]]</f>
        <v>600</v>
      </c>
    </row>
    <row r="117" spans="1:29" s="8" customFormat="1" x14ac:dyDescent="0.25">
      <c r="A117" s="261">
        <v>108</v>
      </c>
      <c r="B117" s="117">
        <v>43724</v>
      </c>
      <c r="C117" s="118" t="s">
        <v>11</v>
      </c>
      <c r="D117" s="117">
        <v>43724</v>
      </c>
      <c r="E117" s="138"/>
      <c r="F117" s="208">
        <v>1381</v>
      </c>
      <c r="G117" s="119" t="s">
        <v>841</v>
      </c>
      <c r="H117" s="126">
        <v>492</v>
      </c>
      <c r="I117" s="126">
        <v>1</v>
      </c>
      <c r="J117" s="126">
        <f>+'INVENTARIO ABRIL-JUNIO 2021'!$H117-'INVENTARIO ABRIL-JUNIO 2021'!$I117</f>
        <v>491</v>
      </c>
      <c r="K117" s="126"/>
      <c r="L117" s="126"/>
      <c r="M117" s="126"/>
      <c r="N117" s="121"/>
      <c r="O117" s="121"/>
      <c r="P117" s="126">
        <v>4</v>
      </c>
      <c r="Q117" s="126">
        <v>2</v>
      </c>
      <c r="R117" s="126"/>
      <c r="S117" s="126">
        <f>1+1+6</f>
        <v>8</v>
      </c>
      <c r="T117" s="126"/>
      <c r="U117" s="121">
        <f>+Tabla1[[#This Row],[STOCK    FISICO ENERO 2021]]-Tabla1[[#This Row],[REQUISICIONES FEBRERO 2021]]</f>
        <v>487</v>
      </c>
      <c r="V117" s="121">
        <f>+Tabla1[[#This Row],[STOCK  FEBRERO 2021]]-Tabla1[[#This Row],[REQUISICIONES MARZO 2021]]+Tabla1[[#This Row],[ENTRADAS MARZO 2021]]</f>
        <v>485</v>
      </c>
      <c r="W117" s="121">
        <f>+Tabla1[[#This Row],[STOCK MARZO 2021]]-Tabla1[[#This Row],[REQUISICIONES ABRIL 2021]]+Tabla1[[#This Row],[ENTRADAS ABRIL 2021]]</f>
        <v>485</v>
      </c>
      <c r="X117" s="121">
        <f>+Tabla1[[#This Row],[STOCK ABRIL 2021]]-Tabla1[[#This Row],[REQUISICIONES MAYO 2021]]+Tabla1[[#This Row],[ENTRADAS MAYO 2021]]</f>
        <v>477</v>
      </c>
      <c r="Y117" s="121">
        <f>+Tabla1[[#This Row],[STOCK MAYO 2021]]-Tabla1[[#This Row],[REQUISICIONES JUNIO 2021]]+Tabla1[[#This Row],[ENTRADAS JUNIO 2021]]</f>
        <v>477</v>
      </c>
      <c r="Z117" s="30" t="s">
        <v>12</v>
      </c>
      <c r="AA117" s="122">
        <v>8.5</v>
      </c>
      <c r="AB117" s="93">
        <f t="shared" si="2"/>
        <v>10.029999999999999</v>
      </c>
      <c r="AC117" s="93">
        <f>Tabla1[[#This Row],[STOCK JUNIO ]]*Tabla1[[#This Row],[COSTO UNITARIO SIN ITBIS]]</f>
        <v>4054.5</v>
      </c>
    </row>
    <row r="118" spans="1:29" s="8" customFormat="1" ht="13.5" customHeight="1" x14ac:dyDescent="0.25">
      <c r="A118" s="261">
        <v>109</v>
      </c>
      <c r="B118" s="42">
        <v>43108</v>
      </c>
      <c r="C118" s="34" t="s">
        <v>11</v>
      </c>
      <c r="D118" s="42">
        <v>43108</v>
      </c>
      <c r="E118" s="139"/>
      <c r="F118" s="51">
        <v>1147</v>
      </c>
      <c r="G118" s="48" t="s">
        <v>86</v>
      </c>
      <c r="H118" s="37">
        <v>58</v>
      </c>
      <c r="I118" s="37"/>
      <c r="J118" s="126">
        <f>+'INVENTARIO ABRIL-JUNIO 2021'!$H118-'INVENTARIO ABRIL-JUNIO 2021'!$I118</f>
        <v>58</v>
      </c>
      <c r="K118" s="37"/>
      <c r="L118" s="37"/>
      <c r="M118" s="37"/>
      <c r="N118" s="37"/>
      <c r="O118" s="294"/>
      <c r="P118" s="37">
        <v>1</v>
      </c>
      <c r="Q118" s="37">
        <f>1+1</f>
        <v>2</v>
      </c>
      <c r="R118" s="37"/>
      <c r="S118" s="37"/>
      <c r="T118" s="37">
        <v>1</v>
      </c>
      <c r="U118" s="37">
        <f>+Tabla1[[#This Row],[STOCK    FISICO ENERO 2021]]-Tabla1[[#This Row],[REQUISICIONES FEBRERO 2021]]</f>
        <v>57</v>
      </c>
      <c r="V118" s="37">
        <f>+Tabla1[[#This Row],[STOCK  FEBRERO 2021]]-Tabla1[[#This Row],[REQUISICIONES MARZO 2021]]+Tabla1[[#This Row],[ENTRADAS MARZO 2021]]</f>
        <v>55</v>
      </c>
      <c r="W118" s="37">
        <f>+Tabla1[[#This Row],[STOCK MARZO 2021]]-Tabla1[[#This Row],[REQUISICIONES ABRIL 2021]]+Tabla1[[#This Row],[ENTRADAS ABRIL 2021]]</f>
        <v>55</v>
      </c>
      <c r="X118" s="37">
        <f>+Tabla1[[#This Row],[STOCK ABRIL 2021]]-Tabla1[[#This Row],[REQUISICIONES MAYO 2021]]+Tabla1[[#This Row],[ENTRADAS MAYO 2021]]</f>
        <v>55</v>
      </c>
      <c r="Y118" s="37">
        <f>+Tabla1[[#This Row],[STOCK MAYO 2021]]-Tabla1[[#This Row],[REQUISICIONES JUNIO 2021]]+Tabla1[[#This Row],[ENTRADAS JUNIO 2021]]</f>
        <v>54</v>
      </c>
      <c r="Z118" s="48" t="s">
        <v>48</v>
      </c>
      <c r="AA118" s="52">
        <v>650</v>
      </c>
      <c r="AB118" s="39">
        <f t="shared" si="2"/>
        <v>767</v>
      </c>
      <c r="AC118" s="93">
        <f>Tabla1[[#This Row],[STOCK JUNIO ]]*Tabla1[[#This Row],[COSTO UNITARIO SIN ITBIS]]</f>
        <v>35100</v>
      </c>
    </row>
    <row r="119" spans="1:29" s="8" customFormat="1" ht="13.5" customHeight="1" x14ac:dyDescent="0.25">
      <c r="A119" s="261">
        <v>110</v>
      </c>
      <c r="B119" s="31">
        <v>44286</v>
      </c>
      <c r="C119" s="28" t="s">
        <v>11</v>
      </c>
      <c r="D119" s="31">
        <v>44286</v>
      </c>
      <c r="E119" s="137" t="s">
        <v>767</v>
      </c>
      <c r="F119" s="28"/>
      <c r="G119" s="32" t="s">
        <v>87</v>
      </c>
      <c r="H119" s="46">
        <v>0</v>
      </c>
      <c r="I119" s="46"/>
      <c r="J119" s="126">
        <f>+'INVENTARIO ABRIL-JUNIO 2021'!$H119-'INVENTARIO ABRIL-JUNIO 2021'!$I119</f>
        <v>0</v>
      </c>
      <c r="K119" s="46"/>
      <c r="L119" s="46">
        <v>50</v>
      </c>
      <c r="M119" s="46"/>
      <c r="N119" s="46"/>
      <c r="O119" s="167"/>
      <c r="P119" s="46"/>
      <c r="Q119" s="46"/>
      <c r="R119" s="46">
        <f>3+2+2+3+1</f>
        <v>11</v>
      </c>
      <c r="S119" s="46">
        <f>2+2+1</f>
        <v>5</v>
      </c>
      <c r="T119" s="46"/>
      <c r="U119" s="46"/>
      <c r="V119" s="46">
        <f>+Tabla1[[#This Row],[STOCK  FEBRERO 2021]]-Tabla1[[#This Row],[REQUISICIONES MARZO 2021]]+Tabla1[[#This Row],[ENTRADAS MARZO 2021]]</f>
        <v>50</v>
      </c>
      <c r="W119" s="46">
        <f>+Tabla1[[#This Row],[STOCK MARZO 2021]]-Tabla1[[#This Row],[REQUISICIONES ABRIL 2021]]+Tabla1[[#This Row],[ENTRADAS ABRIL 2021]]</f>
        <v>39</v>
      </c>
      <c r="X119" s="46">
        <f>+Tabla1[[#This Row],[STOCK ABRIL 2021]]-Tabla1[[#This Row],[REQUISICIONES MAYO 2021]]+Tabla1[[#This Row],[ENTRADAS MAYO 2021]]</f>
        <v>34</v>
      </c>
      <c r="Y119" s="46">
        <f>+Tabla1[[#This Row],[STOCK MAYO 2021]]-Tabla1[[#This Row],[REQUISICIONES JUNIO 2021]]+Tabla1[[#This Row],[ENTRADAS JUNIO 2021]]</f>
        <v>34</v>
      </c>
      <c r="Z119" s="30" t="s">
        <v>12</v>
      </c>
      <c r="AA119" s="34">
        <v>45</v>
      </c>
      <c r="AB119" s="93">
        <f t="shared" si="2"/>
        <v>53.1</v>
      </c>
      <c r="AC119" s="93">
        <f>Tabla1[[#This Row],[STOCK JUNIO ]]*Tabla1[[#This Row],[COSTO UNITARIO SIN ITBIS]]</f>
        <v>1530</v>
      </c>
    </row>
    <row r="120" spans="1:29" s="8" customFormat="1" x14ac:dyDescent="0.25">
      <c r="A120" s="261">
        <v>111</v>
      </c>
      <c r="B120" s="42">
        <v>43440</v>
      </c>
      <c r="C120" s="41" t="s">
        <v>11</v>
      </c>
      <c r="D120" s="42">
        <v>43440</v>
      </c>
      <c r="E120" s="139"/>
      <c r="F120" s="43">
        <v>1150</v>
      </c>
      <c r="G120" s="40" t="s">
        <v>88</v>
      </c>
      <c r="H120" s="40">
        <v>10</v>
      </c>
      <c r="I120" s="40"/>
      <c r="J120" s="40">
        <f>+'INVENTARIO ABRIL-JUNIO 2021'!$H120-'INVENTARIO ABRIL-JUNIO 2021'!$I120</f>
        <v>10</v>
      </c>
      <c r="K120" s="40"/>
      <c r="L120" s="40"/>
      <c r="M120" s="40"/>
      <c r="N120" s="40"/>
      <c r="O120" s="168"/>
      <c r="P120" s="40"/>
      <c r="Q120" s="40"/>
      <c r="R120" s="40">
        <f>1+1+1</f>
        <v>3</v>
      </c>
      <c r="S120" s="40"/>
      <c r="T120" s="40"/>
      <c r="U120" s="40">
        <f>+Tabla1[[#This Row],[STOCK    FISICO ENERO 2021]]-Tabla1[[#This Row],[REQUISICIONES FEBRERO 2021]]</f>
        <v>10</v>
      </c>
      <c r="V120" s="40">
        <f>+Tabla1[[#This Row],[STOCK  FEBRERO 2021]]-Tabla1[[#This Row],[REQUISICIONES MARZO 2021]]+Tabla1[[#This Row],[ENTRADAS MARZO 2021]]</f>
        <v>10</v>
      </c>
      <c r="W120" s="40">
        <f>+Tabla1[[#This Row],[STOCK MARZO 2021]]-Tabla1[[#This Row],[REQUISICIONES ABRIL 2021]]+Tabla1[[#This Row],[ENTRADAS ABRIL 2021]]</f>
        <v>7</v>
      </c>
      <c r="X120" s="40">
        <f>+Tabla1[[#This Row],[STOCK ABRIL 2021]]-Tabla1[[#This Row],[REQUISICIONES MAYO 2021]]+Tabla1[[#This Row],[ENTRADAS MAYO 2021]]</f>
        <v>7</v>
      </c>
      <c r="Y120" s="40">
        <f>+Tabla1[[#This Row],[STOCK MAYO 2021]]-Tabla1[[#This Row],[REQUISICIONES JUNIO 2021]]+Tabla1[[#This Row],[ENTRADAS JUNIO 2021]]</f>
        <v>7</v>
      </c>
      <c r="Z120" s="40" t="s">
        <v>12</v>
      </c>
      <c r="AA120" s="45">
        <v>165.2</v>
      </c>
      <c r="AB120" s="35">
        <f t="shared" si="2"/>
        <v>194.93599999999998</v>
      </c>
      <c r="AC120" s="93">
        <f>Tabla1[[#This Row],[STOCK JUNIO ]]*Tabla1[[#This Row],[COSTO UNITARIO SIN ITBIS]]</f>
        <v>1156.3999999999999</v>
      </c>
    </row>
    <row r="121" spans="1:29" s="8" customFormat="1" x14ac:dyDescent="0.25">
      <c r="A121" s="261">
        <v>112</v>
      </c>
      <c r="B121" s="117">
        <v>44286</v>
      </c>
      <c r="C121" s="41" t="s">
        <v>11</v>
      </c>
      <c r="D121" s="117">
        <v>44286</v>
      </c>
      <c r="E121" s="138" t="s">
        <v>755</v>
      </c>
      <c r="F121" s="118"/>
      <c r="G121" s="40" t="s">
        <v>761</v>
      </c>
      <c r="H121" s="120"/>
      <c r="I121" s="120"/>
      <c r="J121" s="120">
        <f>+'INVENTARIO ABRIL-JUNIO 2021'!$H121-'INVENTARIO ABRIL-JUNIO 2021'!$I121</f>
        <v>0</v>
      </c>
      <c r="K121" s="120"/>
      <c r="L121" s="120">
        <v>70</v>
      </c>
      <c r="M121" s="120"/>
      <c r="N121" s="120"/>
      <c r="O121" s="121"/>
      <c r="P121" s="120"/>
      <c r="Q121" s="120"/>
      <c r="R121" s="120"/>
      <c r="S121" s="120"/>
      <c r="T121" s="120"/>
      <c r="U121" s="121">
        <f>+Tabla1[[#This Row],[STOCK    FISICO ENERO 2021]]-Tabla1[[#This Row],[REQUISICIONES FEBRERO 2021]]</f>
        <v>0</v>
      </c>
      <c r="V121" s="121">
        <f>+Tabla1[[#This Row],[STOCK  FEBRERO 2021]]-Tabla1[[#This Row],[REQUISICIONES MARZO 2021]]+Tabla1[[#This Row],[ENTRADAS MARZO 2021]]</f>
        <v>70</v>
      </c>
      <c r="W121" s="121">
        <f>+Tabla1[[#This Row],[STOCK MARZO 2021]]-Tabla1[[#This Row],[REQUISICIONES ABRIL 2021]]+Tabla1[[#This Row],[ENTRADAS ABRIL 2021]]</f>
        <v>70</v>
      </c>
      <c r="X121" s="121">
        <f>+Tabla1[[#This Row],[STOCK ABRIL 2021]]-Tabla1[[#This Row],[REQUISICIONES MAYO 2021]]+Tabla1[[#This Row],[ENTRADAS MAYO 2021]]</f>
        <v>70</v>
      </c>
      <c r="Y121" s="121">
        <f>+Tabla1[[#This Row],[STOCK MAYO 2021]]-Tabla1[[#This Row],[REQUISICIONES JUNIO 2021]]+Tabla1[[#This Row],[ENTRADAS JUNIO 2021]]</f>
        <v>70</v>
      </c>
      <c r="Z121" s="40" t="s">
        <v>12</v>
      </c>
      <c r="AA121" s="122">
        <v>165</v>
      </c>
      <c r="AB121" s="93">
        <f t="shared" si="2"/>
        <v>194.7</v>
      </c>
      <c r="AC121" s="93">
        <f>Tabla1[[#This Row],[STOCK JUNIO ]]*Tabla1[[#This Row],[COSTO UNITARIO SIN ITBIS]]</f>
        <v>11550</v>
      </c>
    </row>
    <row r="122" spans="1:29" s="12" customFormat="1" x14ac:dyDescent="0.25">
      <c r="A122" s="261">
        <v>113</v>
      </c>
      <c r="B122" s="31">
        <v>43440</v>
      </c>
      <c r="C122" s="28" t="s">
        <v>11</v>
      </c>
      <c r="D122" s="31">
        <v>43440</v>
      </c>
      <c r="E122" s="137"/>
      <c r="F122" s="28">
        <v>1409</v>
      </c>
      <c r="G122" s="32" t="s">
        <v>89</v>
      </c>
      <c r="H122" s="33">
        <v>9</v>
      </c>
      <c r="I122" s="33"/>
      <c r="J122" s="33">
        <f>+'INVENTARIO ABRIL-JUNIO 2021'!$H122-'INVENTARIO ABRIL-JUNIO 2021'!$I122</f>
        <v>9</v>
      </c>
      <c r="K122" s="33"/>
      <c r="L122" s="33"/>
      <c r="M122" s="33"/>
      <c r="N122" s="33"/>
      <c r="O122" s="167"/>
      <c r="P122" s="33">
        <v>1</v>
      </c>
      <c r="Q122" s="33"/>
      <c r="R122" s="33">
        <v>1</v>
      </c>
      <c r="S122" s="33">
        <v>1</v>
      </c>
      <c r="T122" s="33"/>
      <c r="U122" s="33">
        <f>+Tabla1[[#This Row],[STOCK    FISICO ENERO 2021]]-Tabla1[[#This Row],[REQUISICIONES FEBRERO 2021]]</f>
        <v>8</v>
      </c>
      <c r="V122" s="33">
        <f>+Tabla1[[#This Row],[STOCK  FEBRERO 2021]]-Tabla1[[#This Row],[REQUISICIONES MARZO 2021]]+Tabla1[[#This Row],[ENTRADAS MARZO 2021]]</f>
        <v>8</v>
      </c>
      <c r="W122" s="33">
        <f>+Tabla1[[#This Row],[STOCK MARZO 2021]]-Tabla1[[#This Row],[REQUISICIONES ABRIL 2021]]+Tabla1[[#This Row],[ENTRADAS ABRIL 2021]]</f>
        <v>7</v>
      </c>
      <c r="X122" s="33">
        <f>+Tabla1[[#This Row],[STOCK ABRIL 2021]]-Tabla1[[#This Row],[REQUISICIONES MAYO 2021]]+Tabla1[[#This Row],[ENTRADAS MAYO 2021]]</f>
        <v>6</v>
      </c>
      <c r="Y122" s="33">
        <f>+Tabla1[[#This Row],[STOCK MAYO 2021]]-Tabla1[[#This Row],[REQUISICIONES JUNIO 2021]]+Tabla1[[#This Row],[ENTRADAS JUNIO 2021]]</f>
        <v>6</v>
      </c>
      <c r="Z122" s="30" t="s">
        <v>12</v>
      </c>
      <c r="AA122" s="34">
        <v>189.98</v>
      </c>
      <c r="AB122" s="35">
        <f t="shared" si="2"/>
        <v>224.1764</v>
      </c>
      <c r="AC122" s="93">
        <f>Tabla1[[#This Row],[STOCK JUNIO ]]*Tabla1[[#This Row],[COSTO UNITARIO SIN ITBIS]]</f>
        <v>1139.8799999999999</v>
      </c>
    </row>
    <row r="123" spans="1:29" s="12" customFormat="1" x14ac:dyDescent="0.25">
      <c r="A123" s="261">
        <v>114</v>
      </c>
      <c r="B123" s="117">
        <v>44286</v>
      </c>
      <c r="C123" s="41" t="s">
        <v>11</v>
      </c>
      <c r="D123" s="117">
        <v>44286</v>
      </c>
      <c r="E123" s="138" t="s">
        <v>755</v>
      </c>
      <c r="F123" s="118"/>
      <c r="G123" s="32" t="s">
        <v>89</v>
      </c>
      <c r="H123" s="120"/>
      <c r="I123" s="120"/>
      <c r="J123" s="120">
        <f>+'INVENTARIO ABRIL-JUNIO 2021'!$H123-'INVENTARIO ABRIL-JUNIO 2021'!$I123</f>
        <v>0</v>
      </c>
      <c r="K123" s="120"/>
      <c r="L123" s="120">
        <v>10</v>
      </c>
      <c r="M123" s="120"/>
      <c r="N123" s="120"/>
      <c r="O123" s="121"/>
      <c r="P123" s="120"/>
      <c r="Q123" s="120"/>
      <c r="R123" s="120"/>
      <c r="S123" s="120"/>
      <c r="T123" s="120"/>
      <c r="U123" s="121">
        <f>+Tabla1[[#This Row],[STOCK    FISICO ENERO 2021]]-Tabla1[[#This Row],[REQUISICIONES FEBRERO 2021]]</f>
        <v>0</v>
      </c>
      <c r="V123" s="121">
        <f>+Tabla1[[#This Row],[STOCK  FEBRERO 2021]]-Tabla1[[#This Row],[REQUISICIONES MARZO 2021]]+Tabla1[[#This Row],[ENTRADAS MARZO 2021]]</f>
        <v>10</v>
      </c>
      <c r="W123" s="121">
        <f>+Tabla1[[#This Row],[STOCK MARZO 2021]]-Tabla1[[#This Row],[REQUISICIONES ABRIL 2021]]+Tabla1[[#This Row],[ENTRADAS ABRIL 2021]]</f>
        <v>10</v>
      </c>
      <c r="X123" s="121">
        <f>+Tabla1[[#This Row],[STOCK ABRIL 2021]]-Tabla1[[#This Row],[REQUISICIONES MAYO 2021]]+Tabla1[[#This Row],[ENTRADAS MAYO 2021]]</f>
        <v>10</v>
      </c>
      <c r="Y123" s="121">
        <f>+Tabla1[[#This Row],[STOCK MAYO 2021]]-Tabla1[[#This Row],[REQUISICIONES JUNIO 2021]]+Tabla1[[#This Row],[ENTRADAS JUNIO 2021]]</f>
        <v>10</v>
      </c>
      <c r="Z123" s="30" t="s">
        <v>12</v>
      </c>
      <c r="AA123" s="122">
        <v>210</v>
      </c>
      <c r="AB123" s="93">
        <f t="shared" si="2"/>
        <v>247.8</v>
      </c>
      <c r="AC123" s="93">
        <f>Tabla1[[#This Row],[STOCK JUNIO ]]*Tabla1[[#This Row],[COSTO UNITARIO SIN ITBIS]]</f>
        <v>2100</v>
      </c>
    </row>
    <row r="124" spans="1:29" s="12" customFormat="1" x14ac:dyDescent="0.25">
      <c r="A124" s="261">
        <v>115</v>
      </c>
      <c r="B124" s="222"/>
      <c r="C124" s="232"/>
      <c r="D124" s="222"/>
      <c r="E124" s="223"/>
      <c r="F124" s="233"/>
      <c r="G124" s="32" t="s">
        <v>884</v>
      </c>
      <c r="H124" s="226"/>
      <c r="I124" s="226"/>
      <c r="J124" s="226">
        <f>+'INVENTARIO ABRIL-JUNIO 2021'!$H124-'INVENTARIO ABRIL-JUNIO 2021'!$I124+2</f>
        <v>2</v>
      </c>
      <c r="K124" s="226"/>
      <c r="L124" s="226"/>
      <c r="M124" s="226"/>
      <c r="N124" s="228"/>
      <c r="O124" s="227"/>
      <c r="P124" s="226"/>
      <c r="Q124" s="226"/>
      <c r="R124" s="226"/>
      <c r="S124" s="226">
        <v>2</v>
      </c>
      <c r="T124" s="226"/>
      <c r="U124" s="227">
        <f>+Tabla1[[#This Row],[STOCK    FISICO ENERO 2021]]-Tabla1[[#This Row],[REQUISICIONES FEBRERO 2021]]</f>
        <v>2</v>
      </c>
      <c r="V124" s="227">
        <f>+Tabla1[[#This Row],[STOCK  FEBRERO 2021]]-Tabla1[[#This Row],[REQUISICIONES MARZO 2021]]+Tabla1[[#This Row],[ENTRADAS MARZO 2021]]</f>
        <v>2</v>
      </c>
      <c r="W124" s="121">
        <f>+Tabla1[[#This Row],[STOCK MARZO 2021]]-Tabla1[[#This Row],[REQUISICIONES ABRIL 2021]]+Tabla1[[#This Row],[ENTRADAS ABRIL 2021]]</f>
        <v>2</v>
      </c>
      <c r="X124" s="121">
        <f>+Tabla1[[#This Row],[STOCK ABRIL 2021]]-Tabla1[[#This Row],[REQUISICIONES MAYO 2021]]+Tabla1[[#This Row],[ENTRADAS MAYO 2021]]</f>
        <v>0</v>
      </c>
      <c r="Y124" s="121">
        <f>+Tabla1[[#This Row],[STOCK MAYO 2021]]-Tabla1[[#This Row],[REQUISICIONES JUNIO 2021]]+Tabla1[[#This Row],[ENTRADAS JUNIO 2021]]</f>
        <v>0</v>
      </c>
      <c r="Z124" s="30" t="s">
        <v>12</v>
      </c>
      <c r="AA124" s="229"/>
      <c r="AB124" s="230"/>
      <c r="AC124" s="93">
        <f>Tabla1[[#This Row],[STOCK JUNIO ]]*Tabla1[[#This Row],[COSTO UNITARIO SIN ITBIS]]</f>
        <v>0</v>
      </c>
    </row>
    <row r="125" spans="1:29" s="11" customFormat="1" x14ac:dyDescent="0.25">
      <c r="A125" s="261">
        <v>116</v>
      </c>
      <c r="B125" s="42">
        <v>43440</v>
      </c>
      <c r="C125" s="41" t="s">
        <v>11</v>
      </c>
      <c r="D125" s="42">
        <v>43440</v>
      </c>
      <c r="E125" s="139"/>
      <c r="F125" s="43">
        <v>1152</v>
      </c>
      <c r="G125" s="40" t="s">
        <v>90</v>
      </c>
      <c r="H125" s="40">
        <v>8</v>
      </c>
      <c r="I125" s="40"/>
      <c r="J125" s="40">
        <f>+'INVENTARIO ABRIL-JUNIO 2021'!$H125-'INVENTARIO ABRIL-JUNIO 2021'!$I125</f>
        <v>8</v>
      </c>
      <c r="K125" s="40"/>
      <c r="L125" s="40"/>
      <c r="M125" s="40"/>
      <c r="N125" s="40"/>
      <c r="O125" s="168"/>
      <c r="P125" s="40">
        <f>4+4</f>
        <v>8</v>
      </c>
      <c r="Q125" s="40"/>
      <c r="R125" s="40"/>
      <c r="S125" s="40"/>
      <c r="T125" s="40"/>
      <c r="U125" s="40">
        <f>+Tabla1[[#This Row],[STOCK    FISICO ENERO 2021]]-Tabla1[[#This Row],[REQUISICIONES FEBRERO 2021]]</f>
        <v>0</v>
      </c>
      <c r="V125" s="40">
        <f>+Tabla1[[#This Row],[STOCK  FEBRERO 2021]]-Tabla1[[#This Row],[REQUISICIONES MARZO 2021]]+Tabla1[[#This Row],[ENTRADAS MARZO 2021]]</f>
        <v>0</v>
      </c>
      <c r="W125" s="40">
        <f>+Tabla1[[#This Row],[STOCK MARZO 2021]]-Tabla1[[#This Row],[REQUISICIONES ABRIL 2021]]+Tabla1[[#This Row],[ENTRADAS ABRIL 2021]]</f>
        <v>0</v>
      </c>
      <c r="X125" s="40">
        <f>+Tabla1[[#This Row],[STOCK ABRIL 2021]]-Tabla1[[#This Row],[REQUISICIONES MAYO 2021]]+Tabla1[[#This Row],[ENTRADAS MAYO 2021]]</f>
        <v>0</v>
      </c>
      <c r="Y125" s="40">
        <f>+Tabla1[[#This Row],[STOCK MAYO 2021]]-Tabla1[[#This Row],[REQUISICIONES JUNIO 2021]]+Tabla1[[#This Row],[ENTRADAS JUNIO 2021]]</f>
        <v>0</v>
      </c>
      <c r="Z125" s="40" t="s">
        <v>12</v>
      </c>
      <c r="AA125" s="45">
        <v>33.04</v>
      </c>
      <c r="AB125" s="35">
        <f t="shared" si="2"/>
        <v>38.987200000000001</v>
      </c>
      <c r="AC125" s="93">
        <f>Tabla1[[#This Row],[STOCK JUNIO ]]*Tabla1[[#This Row],[COSTO UNITARIO SIN ITBIS]]</f>
        <v>0</v>
      </c>
    </row>
    <row r="126" spans="1:29" s="8" customFormat="1" x14ac:dyDescent="0.25">
      <c r="A126" s="261">
        <v>117</v>
      </c>
      <c r="B126" s="42">
        <v>43440</v>
      </c>
      <c r="C126" s="41" t="s">
        <v>11</v>
      </c>
      <c r="D126" s="42">
        <v>43440</v>
      </c>
      <c r="E126" s="139"/>
      <c r="F126" s="43">
        <v>1153</v>
      </c>
      <c r="G126" s="40" t="s">
        <v>91</v>
      </c>
      <c r="H126" s="40">
        <v>90</v>
      </c>
      <c r="I126" s="40">
        <v>2</v>
      </c>
      <c r="J126" s="40">
        <f>+'INVENTARIO ABRIL-JUNIO 2021'!$H126-'INVENTARIO ABRIL-JUNIO 2021'!$I126</f>
        <v>88</v>
      </c>
      <c r="K126" s="40"/>
      <c r="L126" s="40"/>
      <c r="M126" s="40"/>
      <c r="N126" s="40"/>
      <c r="O126" s="168"/>
      <c r="P126" s="40">
        <f>4+2+2</f>
        <v>8</v>
      </c>
      <c r="Q126" s="40">
        <v>2</v>
      </c>
      <c r="R126" s="40">
        <f>2+2+4</f>
        <v>8</v>
      </c>
      <c r="S126" s="40"/>
      <c r="T126" s="40">
        <f>2+2+2</f>
        <v>6</v>
      </c>
      <c r="U126" s="40">
        <f>+Tabla1[[#This Row],[STOCK    FISICO ENERO 2021]]-Tabla1[[#This Row],[REQUISICIONES FEBRERO 2021]]</f>
        <v>80</v>
      </c>
      <c r="V126" s="40">
        <f>+Tabla1[[#This Row],[STOCK  FEBRERO 2021]]-Tabla1[[#This Row],[REQUISICIONES MARZO 2021]]+Tabla1[[#This Row],[ENTRADAS MARZO 2021]]</f>
        <v>78</v>
      </c>
      <c r="W126" s="40">
        <f>+Tabla1[[#This Row],[STOCK MARZO 2021]]-Tabla1[[#This Row],[REQUISICIONES ABRIL 2021]]+Tabla1[[#This Row],[ENTRADAS ABRIL 2021]]</f>
        <v>70</v>
      </c>
      <c r="X126" s="40">
        <f>+Tabla1[[#This Row],[STOCK ABRIL 2021]]-Tabla1[[#This Row],[REQUISICIONES MAYO 2021]]+Tabla1[[#This Row],[ENTRADAS MAYO 2021]]</f>
        <v>70</v>
      </c>
      <c r="Y126" s="40">
        <f>+Tabla1[[#This Row],[STOCK MAYO 2021]]-Tabla1[[#This Row],[REQUISICIONES JUNIO 2021]]+Tabla1[[#This Row],[ENTRADAS JUNIO 2021]]</f>
        <v>64</v>
      </c>
      <c r="Z126" s="40" t="s">
        <v>12</v>
      </c>
      <c r="AA126" s="45">
        <v>33.04</v>
      </c>
      <c r="AB126" s="35">
        <f t="shared" si="2"/>
        <v>38.987200000000001</v>
      </c>
      <c r="AC126" s="93">
        <f>Tabla1[[#This Row],[STOCK JUNIO ]]*Tabla1[[#This Row],[COSTO UNITARIO SIN ITBIS]]</f>
        <v>2114.56</v>
      </c>
    </row>
    <row r="127" spans="1:29" s="8" customFormat="1" x14ac:dyDescent="0.25">
      <c r="A127" s="261">
        <v>118</v>
      </c>
      <c r="B127" s="31">
        <v>43724</v>
      </c>
      <c r="C127" s="28" t="s">
        <v>11</v>
      </c>
      <c r="D127" s="31">
        <v>43724</v>
      </c>
      <c r="E127" s="138"/>
      <c r="F127" s="28">
        <v>1405</v>
      </c>
      <c r="G127" s="32" t="s">
        <v>753</v>
      </c>
      <c r="H127" s="33">
        <v>12</v>
      </c>
      <c r="I127" s="33">
        <v>1</v>
      </c>
      <c r="J127" s="33">
        <f>+'INVENTARIO ABRIL-JUNIO 2021'!$H127-'INVENTARIO ABRIL-JUNIO 2021'!$I127+2</f>
        <v>13</v>
      </c>
      <c r="K127" s="33"/>
      <c r="L127" s="33"/>
      <c r="M127" s="33"/>
      <c r="N127" s="33"/>
      <c r="O127" s="167"/>
      <c r="P127" s="33"/>
      <c r="Q127" s="33">
        <v>1</v>
      </c>
      <c r="R127" s="33">
        <f>1+1+1</f>
        <v>3</v>
      </c>
      <c r="S127" s="33">
        <v>3</v>
      </c>
      <c r="T127" s="33">
        <v>3</v>
      </c>
      <c r="U127" s="33">
        <f>+Tabla1[[#This Row],[STOCK    FISICO ENERO 2021]]-Tabla1[[#This Row],[REQUISICIONES FEBRERO 2021]]</f>
        <v>13</v>
      </c>
      <c r="V127" s="33">
        <f>+Tabla1[[#This Row],[STOCK  FEBRERO 2021]]-Tabla1[[#This Row],[REQUISICIONES MARZO 2021]]+Tabla1[[#This Row],[ENTRADAS MARZO 2021]]</f>
        <v>12</v>
      </c>
      <c r="W127" s="33">
        <f>+Tabla1[[#This Row],[STOCK MARZO 2021]]-Tabla1[[#This Row],[REQUISICIONES ABRIL 2021]]+Tabla1[[#This Row],[ENTRADAS ABRIL 2021]]</f>
        <v>9</v>
      </c>
      <c r="X127" s="33">
        <f>+Tabla1[[#This Row],[STOCK ABRIL 2021]]-Tabla1[[#This Row],[REQUISICIONES MAYO 2021]]+Tabla1[[#This Row],[ENTRADAS MAYO 2021]]</f>
        <v>6</v>
      </c>
      <c r="Y127" s="33">
        <f>+Tabla1[[#This Row],[STOCK MAYO 2021]]-Tabla1[[#This Row],[REQUISICIONES JUNIO 2021]]+Tabla1[[#This Row],[ENTRADAS JUNIO 2021]]</f>
        <v>3</v>
      </c>
      <c r="Z127" s="30" t="s">
        <v>12</v>
      </c>
      <c r="AA127" s="34">
        <v>772.9</v>
      </c>
      <c r="AB127" s="35">
        <f t="shared" si="2"/>
        <v>912.02199999999993</v>
      </c>
      <c r="AC127" s="93">
        <f>Tabla1[[#This Row],[STOCK JUNIO ]]*Tabla1[[#This Row],[COSTO UNITARIO SIN ITBIS]]</f>
        <v>2318.6999999999998</v>
      </c>
    </row>
    <row r="128" spans="1:29" s="8" customFormat="1" x14ac:dyDescent="0.25">
      <c r="A128" s="261">
        <v>119</v>
      </c>
      <c r="B128" s="117" t="s">
        <v>756</v>
      </c>
      <c r="C128" s="28" t="s">
        <v>11</v>
      </c>
      <c r="D128" s="117">
        <v>44285</v>
      </c>
      <c r="E128" s="137" t="s">
        <v>755</v>
      </c>
      <c r="F128" s="118"/>
      <c r="G128" s="32" t="s">
        <v>757</v>
      </c>
      <c r="H128" s="120"/>
      <c r="I128" s="120"/>
      <c r="J128" s="120">
        <f>+'INVENTARIO ABRIL-JUNIO 2021'!$H128-'INVENTARIO ABRIL-JUNIO 2021'!$I128</f>
        <v>0</v>
      </c>
      <c r="K128" s="120"/>
      <c r="L128" s="120">
        <v>10</v>
      </c>
      <c r="M128" s="120"/>
      <c r="N128" s="120"/>
      <c r="O128" s="121"/>
      <c r="P128" s="120"/>
      <c r="Q128" s="120"/>
      <c r="R128" s="120">
        <f>2+1+1</f>
        <v>4</v>
      </c>
      <c r="S128" s="120">
        <f>1+2</f>
        <v>3</v>
      </c>
      <c r="T128" s="120">
        <v>1</v>
      </c>
      <c r="U128" s="121">
        <f>+Tabla1[[#This Row],[STOCK    FISICO ENERO 2021]]-Tabla1[[#This Row],[REQUISICIONES FEBRERO 2021]]</f>
        <v>0</v>
      </c>
      <c r="V128" s="121">
        <f>+Tabla1[[#This Row],[STOCK  FEBRERO 2021]]-Tabla1[[#This Row],[REQUISICIONES MARZO 2021]]+Tabla1[[#This Row],[ENTRADAS MARZO 2021]]</f>
        <v>10</v>
      </c>
      <c r="W128" s="121">
        <f>+Tabla1[[#This Row],[STOCK MARZO 2021]]-Tabla1[[#This Row],[REQUISICIONES ABRIL 2021]]+Tabla1[[#This Row],[ENTRADAS ABRIL 2021]]</f>
        <v>6</v>
      </c>
      <c r="X128" s="121">
        <f>+Tabla1[[#This Row],[STOCK ABRIL 2021]]-Tabla1[[#This Row],[REQUISICIONES MAYO 2021]]+Tabla1[[#This Row],[ENTRADAS MAYO 2021]]</f>
        <v>3</v>
      </c>
      <c r="Y128" s="121">
        <f>+Tabla1[[#This Row],[STOCK MAYO 2021]]-Tabla1[[#This Row],[REQUISICIONES JUNIO 2021]]+Tabla1[[#This Row],[ENTRADAS JUNIO 2021]]</f>
        <v>2</v>
      </c>
      <c r="Z128" s="30" t="s">
        <v>12</v>
      </c>
      <c r="AA128" s="122">
        <v>728</v>
      </c>
      <c r="AB128" s="93" t="s">
        <v>747</v>
      </c>
      <c r="AC128" s="93">
        <f>Tabla1[[#This Row],[STOCK JUNIO ]]*Tabla1[[#This Row],[COSTO UNITARIO SIN ITBIS]]</f>
        <v>1456</v>
      </c>
    </row>
    <row r="129" spans="1:29" s="8" customFormat="1" x14ac:dyDescent="0.25">
      <c r="A129" s="261">
        <v>120</v>
      </c>
      <c r="B129" s="117">
        <v>44285</v>
      </c>
      <c r="C129" s="28" t="s">
        <v>11</v>
      </c>
      <c r="D129" s="117">
        <v>44285</v>
      </c>
      <c r="E129" s="137" t="s">
        <v>755</v>
      </c>
      <c r="F129" s="118"/>
      <c r="G129" s="32" t="s">
        <v>754</v>
      </c>
      <c r="H129" s="120"/>
      <c r="I129" s="120"/>
      <c r="J129" s="120">
        <f>+'INVENTARIO ABRIL-JUNIO 2021'!$H129-'INVENTARIO ABRIL-JUNIO 2021'!$I129</f>
        <v>0</v>
      </c>
      <c r="K129" s="120"/>
      <c r="L129" s="120">
        <v>18</v>
      </c>
      <c r="M129" s="120"/>
      <c r="N129" s="120"/>
      <c r="O129" s="121"/>
      <c r="P129" s="120"/>
      <c r="Q129" s="120"/>
      <c r="R129" s="120"/>
      <c r="S129" s="120"/>
      <c r="T129" s="120"/>
      <c r="U129" s="121">
        <f>+Tabla1[[#This Row],[STOCK    FISICO ENERO 2021]]-Tabla1[[#This Row],[REQUISICIONES FEBRERO 2021]]</f>
        <v>0</v>
      </c>
      <c r="V129" s="121">
        <f>+Tabla1[[#This Row],[STOCK  FEBRERO 2021]]-Tabla1[[#This Row],[REQUISICIONES MARZO 2021]]+Tabla1[[#This Row],[ENTRADAS MARZO 2021]]</f>
        <v>18</v>
      </c>
      <c r="W129" s="121">
        <f>+Tabla1[[#This Row],[STOCK MARZO 2021]]-Tabla1[[#This Row],[REQUISICIONES ABRIL 2021]]+Tabla1[[#This Row],[ENTRADAS ABRIL 2021]]</f>
        <v>18</v>
      </c>
      <c r="X129" s="121">
        <f>+Tabla1[[#This Row],[STOCK ABRIL 2021]]-Tabla1[[#This Row],[REQUISICIONES MAYO 2021]]+Tabla1[[#This Row],[ENTRADAS MAYO 2021]]</f>
        <v>18</v>
      </c>
      <c r="Y129" s="121">
        <f>+Tabla1[[#This Row],[STOCK MAYO 2021]]-Tabla1[[#This Row],[REQUISICIONES JUNIO 2021]]+Tabla1[[#This Row],[ENTRADAS JUNIO 2021]]</f>
        <v>18</v>
      </c>
      <c r="Z129" s="30" t="s">
        <v>12</v>
      </c>
      <c r="AA129" s="122">
        <v>595</v>
      </c>
      <c r="AB129" s="93" t="s">
        <v>747</v>
      </c>
      <c r="AC129" s="93">
        <f>Tabla1[[#This Row],[STOCK JUNIO ]]*Tabla1[[#This Row],[COSTO UNITARIO SIN ITBIS]]</f>
        <v>10710</v>
      </c>
    </row>
    <row r="130" spans="1:29" s="8" customFormat="1" x14ac:dyDescent="0.25">
      <c r="A130" s="261">
        <v>121</v>
      </c>
      <c r="B130" s="31">
        <v>43440</v>
      </c>
      <c r="C130" s="28" t="s">
        <v>11</v>
      </c>
      <c r="D130" s="31">
        <v>43440</v>
      </c>
      <c r="E130" s="137"/>
      <c r="F130" s="28">
        <v>1416</v>
      </c>
      <c r="G130" s="32" t="s">
        <v>92</v>
      </c>
      <c r="H130" s="33">
        <v>64</v>
      </c>
      <c r="I130" s="33"/>
      <c r="J130" s="33">
        <f>+'INVENTARIO ABRIL-JUNIO 2021'!$H130-'INVENTARIO ABRIL-JUNIO 2021'!$I130</f>
        <v>64</v>
      </c>
      <c r="K130" s="33"/>
      <c r="L130" s="33"/>
      <c r="M130" s="33"/>
      <c r="N130" s="33"/>
      <c r="O130" s="167"/>
      <c r="P130" s="33"/>
      <c r="Q130" s="33">
        <f>2+10+4</f>
        <v>16</v>
      </c>
      <c r="R130" s="33"/>
      <c r="S130" s="33"/>
      <c r="T130" s="33">
        <v>2</v>
      </c>
      <c r="U130" s="33">
        <f>+Tabla1[[#This Row],[STOCK    FISICO ENERO 2021]]-Tabla1[[#This Row],[REQUISICIONES FEBRERO 2021]]</f>
        <v>64</v>
      </c>
      <c r="V130" s="33">
        <f>+Tabla1[[#This Row],[STOCK  FEBRERO 2021]]-Tabla1[[#This Row],[REQUISICIONES MARZO 2021]]+Tabla1[[#This Row],[ENTRADAS MARZO 2021]]</f>
        <v>48</v>
      </c>
      <c r="W130" s="33">
        <f>+Tabla1[[#This Row],[STOCK MARZO 2021]]-Tabla1[[#This Row],[REQUISICIONES ABRIL 2021]]+Tabla1[[#This Row],[ENTRADAS ABRIL 2021]]</f>
        <v>48</v>
      </c>
      <c r="X130" s="33">
        <f>+Tabla1[[#This Row],[STOCK ABRIL 2021]]-Tabla1[[#This Row],[REQUISICIONES MAYO 2021]]+Tabla1[[#This Row],[ENTRADAS MAYO 2021]]</f>
        <v>48</v>
      </c>
      <c r="Y130" s="33">
        <f>+Tabla1[[#This Row],[STOCK MAYO 2021]]-Tabla1[[#This Row],[REQUISICIONES JUNIO 2021]]+Tabla1[[#This Row],[ENTRADAS JUNIO 2021]]</f>
        <v>46</v>
      </c>
      <c r="Z130" s="30" t="s">
        <v>12</v>
      </c>
      <c r="AA130" s="34">
        <v>27.14</v>
      </c>
      <c r="AB130" s="35">
        <f t="shared" si="2"/>
        <v>32.025199999999998</v>
      </c>
      <c r="AC130" s="93">
        <f>Tabla1[[#This Row],[STOCK JUNIO ]]*Tabla1[[#This Row],[COSTO UNITARIO SIN ITBIS]]</f>
        <v>1248.44</v>
      </c>
    </row>
    <row r="131" spans="1:29" s="8" customFormat="1" x14ac:dyDescent="0.25">
      <c r="A131" s="261">
        <v>122</v>
      </c>
      <c r="B131" s="31">
        <v>44291</v>
      </c>
      <c r="C131" s="28" t="s">
        <v>11</v>
      </c>
      <c r="D131" s="31">
        <v>44291</v>
      </c>
      <c r="E131" s="158" t="s">
        <v>784</v>
      </c>
      <c r="F131" s="69"/>
      <c r="G131" s="32" t="s">
        <v>785</v>
      </c>
      <c r="H131" s="63"/>
      <c r="I131" s="63"/>
      <c r="J131" s="120">
        <f>+'INVENTARIO ABRIL-JUNIO 2021'!$H131-'INVENTARIO ABRIL-JUNIO 2021'!$I131</f>
        <v>0</v>
      </c>
      <c r="K131" s="63"/>
      <c r="L131" s="63"/>
      <c r="M131" s="63">
        <v>26</v>
      </c>
      <c r="N131" s="63"/>
      <c r="O131" s="125"/>
      <c r="P131" s="63"/>
      <c r="Q131" s="63"/>
      <c r="R131" s="63"/>
      <c r="S131" s="63"/>
      <c r="T131" s="63"/>
      <c r="U131" s="125">
        <f>+Tabla1[[#This Row],[STOCK    FISICO ENERO 2021]]-Tabla1[[#This Row],[REQUISICIONES FEBRERO 2021]]</f>
        <v>0</v>
      </c>
      <c r="V131" s="125">
        <f>+Tabla1[[#This Row],[STOCK  FEBRERO 2021]]-Tabla1[[#This Row],[REQUISICIONES MARZO 2021]]+Tabla1[[#This Row],[ENTRADAS MARZO 2021]]</f>
        <v>0</v>
      </c>
      <c r="W131" s="167">
        <f>+Tabla1[[#This Row],[STOCK MARZO 2021]]-Tabla1[[#This Row],[REQUISICIONES ABRIL 2021]]+Tabla1[[#This Row],[ENTRADAS ABRIL 2021]]</f>
        <v>26</v>
      </c>
      <c r="X131" s="167">
        <f>+Tabla1[[#This Row],[STOCK ABRIL 2021]]-Tabla1[[#This Row],[REQUISICIONES MAYO 2021]]+Tabla1[[#This Row],[ENTRADAS MAYO 2021]]</f>
        <v>26</v>
      </c>
      <c r="Y131" s="167">
        <f>+Tabla1[[#This Row],[STOCK MAYO 2021]]-Tabla1[[#This Row],[REQUISICIONES JUNIO 2021]]+Tabla1[[#This Row],[ENTRADAS JUNIO 2021]]</f>
        <v>26</v>
      </c>
      <c r="Z131" s="30" t="s">
        <v>12</v>
      </c>
      <c r="AA131" s="34">
        <v>20</v>
      </c>
      <c r="AB131" s="35">
        <f t="shared" si="2"/>
        <v>23.6</v>
      </c>
      <c r="AC131" s="93">
        <f>Tabla1[[#This Row],[STOCK JUNIO ]]*Tabla1[[#This Row],[COSTO UNITARIO SIN ITBIS]]</f>
        <v>520</v>
      </c>
    </row>
    <row r="132" spans="1:29" s="8" customFormat="1" x14ac:dyDescent="0.25">
      <c r="A132" s="261">
        <v>123</v>
      </c>
      <c r="B132" s="31">
        <v>43671</v>
      </c>
      <c r="C132" s="28" t="s">
        <v>11</v>
      </c>
      <c r="D132" s="31">
        <v>43671</v>
      </c>
      <c r="E132" s="137"/>
      <c r="F132" s="28">
        <v>1407</v>
      </c>
      <c r="G132" s="32" t="s">
        <v>93</v>
      </c>
      <c r="H132" s="33">
        <v>82</v>
      </c>
      <c r="I132" s="33">
        <v>1</v>
      </c>
      <c r="J132" s="33">
        <f>+'INVENTARIO ABRIL-JUNIO 2021'!$H132-'INVENTARIO ABRIL-JUNIO 2021'!$I132</f>
        <v>81</v>
      </c>
      <c r="K132" s="33"/>
      <c r="L132" s="33"/>
      <c r="M132" s="33"/>
      <c r="N132" s="33"/>
      <c r="O132" s="167"/>
      <c r="P132" s="33">
        <f>2+1</f>
        <v>3</v>
      </c>
      <c r="Q132" s="33">
        <f>2+1+2+1+1+4</f>
        <v>11</v>
      </c>
      <c r="R132" s="33">
        <f>2+2+1+2+2+2</f>
        <v>11</v>
      </c>
      <c r="S132" s="33">
        <v>3</v>
      </c>
      <c r="T132" s="33">
        <f>2+1+1</f>
        <v>4</v>
      </c>
      <c r="U132" s="33">
        <f>+Tabla1[[#This Row],[STOCK    FISICO ENERO 2021]]-Tabla1[[#This Row],[REQUISICIONES FEBRERO 2021]]</f>
        <v>78</v>
      </c>
      <c r="V132" s="33">
        <f>+Tabla1[[#This Row],[STOCK  FEBRERO 2021]]-Tabla1[[#This Row],[REQUISICIONES MARZO 2021]]+Tabla1[[#This Row],[ENTRADAS MARZO 2021]]</f>
        <v>67</v>
      </c>
      <c r="W132" s="33">
        <f>+Tabla1[[#This Row],[STOCK MARZO 2021]]-Tabla1[[#This Row],[REQUISICIONES ABRIL 2021]]+Tabla1[[#This Row],[ENTRADAS ABRIL 2021]]</f>
        <v>56</v>
      </c>
      <c r="X132" s="33">
        <f>+Tabla1[[#This Row],[STOCK ABRIL 2021]]-Tabla1[[#This Row],[REQUISICIONES MAYO 2021]]+Tabla1[[#This Row],[ENTRADAS MAYO 2021]]</f>
        <v>53</v>
      </c>
      <c r="Y132" s="33">
        <f>+Tabla1[[#This Row],[STOCK MAYO 2021]]-Tabla1[[#This Row],[REQUISICIONES JUNIO 2021]]+Tabla1[[#This Row],[ENTRADAS JUNIO 2021]]</f>
        <v>49</v>
      </c>
      <c r="Z132" s="30" t="s">
        <v>12</v>
      </c>
      <c r="AA132" s="34">
        <v>55.75</v>
      </c>
      <c r="AB132" s="35">
        <f t="shared" si="2"/>
        <v>65.784999999999997</v>
      </c>
      <c r="AC132" s="93">
        <f>Tabla1[[#This Row],[STOCK JUNIO ]]*Tabla1[[#This Row],[COSTO UNITARIO SIN ITBIS]]</f>
        <v>2731.75</v>
      </c>
    </row>
    <row r="133" spans="1:29" s="8" customFormat="1" x14ac:dyDescent="0.25">
      <c r="A133" s="261">
        <v>124</v>
      </c>
      <c r="B133" s="117">
        <v>44285</v>
      </c>
      <c r="C133" s="28" t="s">
        <v>11</v>
      </c>
      <c r="D133" s="117">
        <v>44285</v>
      </c>
      <c r="E133" s="138" t="s">
        <v>739</v>
      </c>
      <c r="F133" s="118"/>
      <c r="G133" s="32" t="s">
        <v>748</v>
      </c>
      <c r="H133" s="120"/>
      <c r="I133" s="120"/>
      <c r="J133" s="120">
        <f>+'INVENTARIO ABRIL-JUNIO 2021'!$H133-'INVENTARIO ABRIL-JUNIO 2021'!$I133</f>
        <v>0</v>
      </c>
      <c r="K133" s="120"/>
      <c r="L133" s="120">
        <v>35</v>
      </c>
      <c r="M133" s="120"/>
      <c r="N133" s="120"/>
      <c r="O133" s="121"/>
      <c r="P133" s="120"/>
      <c r="Q133" s="120"/>
      <c r="R133" s="120"/>
      <c r="S133" s="120"/>
      <c r="T133" s="120"/>
      <c r="U133" s="121">
        <f>+Tabla1[[#This Row],[STOCK    FISICO ENERO 2021]]-Tabla1[[#This Row],[REQUISICIONES FEBRERO 2021]]</f>
        <v>0</v>
      </c>
      <c r="V133" s="121">
        <f>+Tabla1[[#This Row],[STOCK  FEBRERO 2021]]-Tabla1[[#This Row],[REQUISICIONES MARZO 2021]]+Tabla1[[#This Row],[ENTRADAS MARZO 2021]]</f>
        <v>35</v>
      </c>
      <c r="W133" s="121">
        <f>+Tabla1[[#This Row],[STOCK MARZO 2021]]-Tabla1[[#This Row],[REQUISICIONES ABRIL 2021]]+Tabla1[[#This Row],[ENTRADAS ABRIL 2021]]</f>
        <v>35</v>
      </c>
      <c r="X133" s="121">
        <f>+Tabla1[[#This Row],[STOCK ABRIL 2021]]-Tabla1[[#This Row],[REQUISICIONES MAYO 2021]]+Tabla1[[#This Row],[ENTRADAS MAYO 2021]]</f>
        <v>35</v>
      </c>
      <c r="Y133" s="121">
        <f>+Tabla1[[#This Row],[STOCK MAYO 2021]]-Tabla1[[#This Row],[REQUISICIONES JUNIO 2021]]+Tabla1[[#This Row],[ENTRADAS JUNIO 2021]]</f>
        <v>35</v>
      </c>
      <c r="Z133" s="30" t="s">
        <v>12</v>
      </c>
      <c r="AA133" s="122">
        <v>40</v>
      </c>
      <c r="AB133" s="93">
        <f t="shared" si="2"/>
        <v>47.2</v>
      </c>
      <c r="AC133" s="93">
        <f>Tabla1[[#This Row],[STOCK JUNIO ]]*Tabla1[[#This Row],[COSTO UNITARIO SIN ITBIS]]</f>
        <v>1400</v>
      </c>
    </row>
    <row r="134" spans="1:29" s="11" customFormat="1" x14ac:dyDescent="0.25">
      <c r="A134" s="261">
        <v>125</v>
      </c>
      <c r="B134" s="31">
        <v>43440</v>
      </c>
      <c r="C134" s="28" t="s">
        <v>11</v>
      </c>
      <c r="D134" s="31">
        <v>43440</v>
      </c>
      <c r="E134" s="137"/>
      <c r="F134" s="28">
        <v>1352</v>
      </c>
      <c r="G134" s="38" t="s">
        <v>94</v>
      </c>
      <c r="H134" s="33">
        <v>72</v>
      </c>
      <c r="I134" s="33">
        <f>2+5+3+10+4+10+3</f>
        <v>37</v>
      </c>
      <c r="J134" s="33">
        <f>+'INVENTARIO ABRIL-JUNIO 2021'!$H134-'INVENTARIO ABRIL-JUNIO 2021'!$I134</f>
        <v>35</v>
      </c>
      <c r="K134" s="33"/>
      <c r="L134" s="33"/>
      <c r="M134" s="33"/>
      <c r="N134" s="33"/>
      <c r="O134" s="167"/>
      <c r="P134" s="33">
        <f>6+3+2+3+2+2+3+2+2+1+3+3+3</f>
        <v>35</v>
      </c>
      <c r="Q134" s="33"/>
      <c r="R134" s="33"/>
      <c r="S134" s="33"/>
      <c r="T134" s="33"/>
      <c r="U134" s="33">
        <f>+Tabla1[[#This Row],[STOCK    FISICO ENERO 2021]]-Tabla1[[#This Row],[REQUISICIONES FEBRERO 2021]]</f>
        <v>0</v>
      </c>
      <c r="V134" s="33">
        <f>+Tabla1[[#This Row],[STOCK  FEBRERO 2021]]-Tabla1[[#This Row],[REQUISICIONES MARZO 2021]]+Tabla1[[#This Row],[ENTRADAS MARZO 2021]]</f>
        <v>0</v>
      </c>
      <c r="W134" s="33">
        <f>+Tabla1[[#This Row],[STOCK MARZO 2021]]-Tabla1[[#This Row],[REQUISICIONES ABRIL 2021]]+Tabla1[[#This Row],[ENTRADAS ABRIL 2021]]</f>
        <v>0</v>
      </c>
      <c r="X134" s="33">
        <f>+Tabla1[[#This Row],[STOCK ABRIL 2021]]-Tabla1[[#This Row],[REQUISICIONES MAYO 2021]]+Tabla1[[#This Row],[ENTRADAS MAYO 2021]]</f>
        <v>0</v>
      </c>
      <c r="Y134" s="33">
        <f>+Tabla1[[#This Row],[STOCK MAYO 2021]]-Tabla1[[#This Row],[REQUISICIONES JUNIO 2021]]+Tabla1[[#This Row],[ENTRADAS JUNIO 2021]]</f>
        <v>0</v>
      </c>
      <c r="Z134" s="30" t="s">
        <v>12</v>
      </c>
      <c r="AA134" s="34">
        <v>14.16</v>
      </c>
      <c r="AB134" s="35">
        <f t="shared" si="2"/>
        <v>16.7088</v>
      </c>
      <c r="AC134" s="93">
        <f>Tabla1[[#This Row],[STOCK JUNIO ]]*Tabla1[[#This Row],[COSTO UNITARIO SIN ITBIS]]</f>
        <v>0</v>
      </c>
    </row>
    <row r="135" spans="1:29" s="8" customFormat="1" x14ac:dyDescent="0.25">
      <c r="A135" s="261">
        <v>126</v>
      </c>
      <c r="B135" s="117">
        <v>44291</v>
      </c>
      <c r="C135" s="28" t="s">
        <v>11</v>
      </c>
      <c r="D135" s="117">
        <v>44291</v>
      </c>
      <c r="E135" s="158" t="s">
        <v>784</v>
      </c>
      <c r="F135" s="166"/>
      <c r="G135" s="38" t="s">
        <v>783</v>
      </c>
      <c r="H135" s="120"/>
      <c r="I135" s="120"/>
      <c r="J135" s="120">
        <f>+'INVENTARIO ABRIL-JUNIO 2021'!$H135-'INVENTARIO ABRIL-JUNIO 2021'!$I135</f>
        <v>0</v>
      </c>
      <c r="K135" s="120"/>
      <c r="L135" s="120"/>
      <c r="M135" s="120">
        <v>540</v>
      </c>
      <c r="N135" s="120"/>
      <c r="O135" s="121"/>
      <c r="P135" s="120"/>
      <c r="Q135" s="120"/>
      <c r="R135" s="120">
        <f>5+5+4+6+2+3+4+6+2+4+4+10+3+5+6+5+3+2+8</f>
        <v>87</v>
      </c>
      <c r="S135" s="120">
        <f>4+5+9+8+3+1+4+3+6+4+5+5+4+5+1+5+3+1+5+24+5</f>
        <v>110</v>
      </c>
      <c r="T135" s="120">
        <f>3+3+3+3+3+10+6+8+5+6+1+5</f>
        <v>56</v>
      </c>
      <c r="U135" s="121">
        <f>+Tabla1[[#This Row],[STOCK    FISICO ENERO 2021]]-Tabla1[[#This Row],[REQUISICIONES FEBRERO 2021]]</f>
        <v>0</v>
      </c>
      <c r="V135" s="121">
        <f>+Tabla1[[#This Row],[STOCK  FEBRERO 2021]]-Tabla1[[#This Row],[REQUISICIONES MARZO 2021]]+Tabla1[[#This Row],[ENTRADAS MARZO 2021]]</f>
        <v>0</v>
      </c>
      <c r="W135" s="167">
        <f>+Tabla1[[#This Row],[STOCK MARZO 2021]]-Tabla1[[#This Row],[REQUISICIONES ABRIL 2021]]+Tabla1[[#This Row],[ENTRADAS ABRIL 2021]]</f>
        <v>453</v>
      </c>
      <c r="X135" s="167">
        <f>+Tabla1[[#This Row],[STOCK ABRIL 2021]]-Tabla1[[#This Row],[REQUISICIONES MAYO 2021]]+Tabla1[[#This Row],[ENTRADAS MAYO 2021]]</f>
        <v>343</v>
      </c>
      <c r="Y135" s="167">
        <f>+Tabla1[[#This Row],[STOCK MAYO 2021]]-Tabla1[[#This Row],[REQUISICIONES JUNIO 2021]]+Tabla1[[#This Row],[ENTRADAS JUNIO 2021]]</f>
        <v>287</v>
      </c>
      <c r="Z135" s="30" t="s">
        <v>12</v>
      </c>
      <c r="AA135" s="122">
        <v>13</v>
      </c>
      <c r="AB135" s="35">
        <f t="shared" si="2"/>
        <v>15.34</v>
      </c>
      <c r="AC135" s="93">
        <f>Tabla1[[#This Row],[STOCK JUNIO ]]*Tabla1[[#This Row],[COSTO UNITARIO SIN ITBIS]]</f>
        <v>3731</v>
      </c>
    </row>
    <row r="136" spans="1:29" s="8" customFormat="1" x14ac:dyDescent="0.25">
      <c r="A136" s="261">
        <v>127</v>
      </c>
      <c r="B136" s="31">
        <v>43440</v>
      </c>
      <c r="C136" s="28" t="s">
        <v>11</v>
      </c>
      <c r="D136" s="31">
        <v>43440</v>
      </c>
      <c r="E136" s="137"/>
      <c r="F136" s="28">
        <v>1353</v>
      </c>
      <c r="G136" s="38" t="s">
        <v>95</v>
      </c>
      <c r="H136" s="33">
        <f>595+29</f>
        <v>624</v>
      </c>
      <c r="I136" s="33">
        <f>3+10</f>
        <v>13</v>
      </c>
      <c r="J136" s="33">
        <f>+'INVENTARIO ABRIL-JUNIO 2021'!$H136-'INVENTARIO ABRIL-JUNIO 2021'!$I136</f>
        <v>611</v>
      </c>
      <c r="K136" s="33"/>
      <c r="L136" s="33"/>
      <c r="M136" s="33"/>
      <c r="N136" s="33"/>
      <c r="O136" s="167"/>
      <c r="P136" s="33">
        <f>3+4+2+1+3+8+2+5+3</f>
        <v>31</v>
      </c>
      <c r="Q136" s="33">
        <f>4+1+3+3+4+4+4+2+4+2+3+4+3+6+5+4+10</f>
        <v>66</v>
      </c>
      <c r="R136" s="33">
        <f>4+5+3+6+2+2+4+5+3</f>
        <v>34</v>
      </c>
      <c r="S136" s="33">
        <f>8+5+3+2</f>
        <v>18</v>
      </c>
      <c r="T136" s="33">
        <f>8+2+4+3+5+3+4+4</f>
        <v>33</v>
      </c>
      <c r="U136" s="33">
        <f>+Tabla1[[#This Row],[STOCK    FISICO ENERO 2021]]-Tabla1[[#This Row],[REQUISICIONES FEBRERO 2021]]</f>
        <v>580</v>
      </c>
      <c r="V136" s="33">
        <f>+Tabla1[[#This Row],[STOCK  FEBRERO 2021]]-Tabla1[[#This Row],[REQUISICIONES MARZO 2021]]+Tabla1[[#This Row],[ENTRADAS MARZO 2021]]</f>
        <v>514</v>
      </c>
      <c r="W136" s="33">
        <f>+Tabla1[[#This Row],[STOCK MARZO 2021]]-Tabla1[[#This Row],[REQUISICIONES ABRIL 2021]]+Tabla1[[#This Row],[ENTRADAS ABRIL 2021]]</f>
        <v>480</v>
      </c>
      <c r="X136" s="33">
        <f>+Tabla1[[#This Row],[STOCK ABRIL 2021]]-Tabla1[[#This Row],[REQUISICIONES MAYO 2021]]+Tabla1[[#This Row],[ENTRADAS MAYO 2021]]</f>
        <v>462</v>
      </c>
      <c r="Y136" s="33">
        <f>+Tabla1[[#This Row],[STOCK MAYO 2021]]-Tabla1[[#This Row],[REQUISICIONES JUNIO 2021]]+Tabla1[[#This Row],[ENTRADAS JUNIO 2021]]</f>
        <v>429</v>
      </c>
      <c r="Z136" s="30" t="s">
        <v>12</v>
      </c>
      <c r="AA136" s="34">
        <v>22.66</v>
      </c>
      <c r="AB136" s="35">
        <f t="shared" si="2"/>
        <v>26.738800000000001</v>
      </c>
      <c r="AC136" s="93">
        <f>Tabla1[[#This Row],[STOCK JUNIO ]]*Tabla1[[#This Row],[COSTO UNITARIO SIN ITBIS]]</f>
        <v>9721.14</v>
      </c>
    </row>
    <row r="137" spans="1:29" s="8" customFormat="1" x14ac:dyDescent="0.25">
      <c r="A137" s="261">
        <v>128</v>
      </c>
      <c r="B137" s="117">
        <v>44312</v>
      </c>
      <c r="C137" s="28" t="s">
        <v>11</v>
      </c>
      <c r="D137" s="117">
        <v>44301</v>
      </c>
      <c r="E137" s="158" t="s">
        <v>739</v>
      </c>
      <c r="F137" s="166"/>
      <c r="G137" s="38" t="s">
        <v>817</v>
      </c>
      <c r="H137" s="120"/>
      <c r="I137" s="120"/>
      <c r="J137" s="120">
        <f>+'INVENTARIO ABRIL-JUNIO 2021'!$H137-'INVENTARIO ABRIL-JUNIO 2021'!$I137</f>
        <v>0</v>
      </c>
      <c r="K137" s="120"/>
      <c r="L137" s="120"/>
      <c r="M137" s="120">
        <f>30*10</f>
        <v>300</v>
      </c>
      <c r="N137" s="120"/>
      <c r="O137" s="121"/>
      <c r="P137" s="120"/>
      <c r="Q137" s="120"/>
      <c r="R137" s="120">
        <f>30+3+10+2+6+1+1+1</f>
        <v>54</v>
      </c>
      <c r="S137" s="120">
        <f>3+1+3+3+1</f>
        <v>11</v>
      </c>
      <c r="T137" s="120">
        <f>2+3+5+3+3+1+3</f>
        <v>20</v>
      </c>
      <c r="U137" s="121">
        <f>+Tabla1[[#This Row],[STOCK    FISICO ENERO 2021]]-Tabla1[[#This Row],[REQUISICIONES FEBRERO 2021]]</f>
        <v>0</v>
      </c>
      <c r="V137" s="121">
        <f>+Tabla1[[#This Row],[STOCK  FEBRERO 2021]]-Tabla1[[#This Row],[REQUISICIONES MARZO 2021]]+Tabla1[[#This Row],[ENTRADAS MARZO 2021]]</f>
        <v>0</v>
      </c>
      <c r="W137" s="167">
        <f>+Tabla1[[#This Row],[STOCK MARZO 2021]]-Tabla1[[#This Row],[REQUISICIONES ABRIL 2021]]+Tabla1[[#This Row],[ENTRADAS ABRIL 2021]]</f>
        <v>246</v>
      </c>
      <c r="X137" s="167">
        <f>+Tabla1[[#This Row],[STOCK ABRIL 2021]]-Tabla1[[#This Row],[REQUISICIONES MAYO 2021]]+Tabla1[[#This Row],[ENTRADAS MAYO 2021]]</f>
        <v>235</v>
      </c>
      <c r="Y137" s="167">
        <f>+Tabla1[[#This Row],[STOCK MAYO 2021]]-Tabla1[[#This Row],[REQUISICIONES JUNIO 2021]]+Tabla1[[#This Row],[ENTRADAS JUNIO 2021]]</f>
        <v>215</v>
      </c>
      <c r="Z137" s="30" t="s">
        <v>12</v>
      </c>
      <c r="AA137" s="122">
        <v>0</v>
      </c>
      <c r="AB137" s="123">
        <v>0</v>
      </c>
      <c r="AC137" s="93">
        <f>Tabla1[[#This Row],[STOCK JUNIO ]]*Tabla1[[#This Row],[COSTO UNITARIO SIN ITBIS]]</f>
        <v>0</v>
      </c>
    </row>
    <row r="138" spans="1:29" s="8" customFormat="1" x14ac:dyDescent="0.25">
      <c r="A138" s="261">
        <v>129</v>
      </c>
      <c r="B138" s="31">
        <v>43671</v>
      </c>
      <c r="C138" s="28" t="s">
        <v>11</v>
      </c>
      <c r="D138" s="31">
        <v>43671</v>
      </c>
      <c r="E138" s="137"/>
      <c r="F138" s="28">
        <v>1383</v>
      </c>
      <c r="G138" s="32" t="s">
        <v>96</v>
      </c>
      <c r="H138" s="33">
        <v>49</v>
      </c>
      <c r="I138" s="33"/>
      <c r="J138" s="33">
        <f>+'INVENTARIO ABRIL-JUNIO 2021'!$H138-'INVENTARIO ABRIL-JUNIO 2021'!$I138</f>
        <v>49</v>
      </c>
      <c r="K138" s="33"/>
      <c r="L138" s="33"/>
      <c r="M138" s="33"/>
      <c r="N138" s="33"/>
      <c r="O138" s="167"/>
      <c r="P138" s="33">
        <v>1</v>
      </c>
      <c r="Q138" s="33">
        <f>2+1</f>
        <v>3</v>
      </c>
      <c r="R138" s="33">
        <f>2+2+1+2</f>
        <v>7</v>
      </c>
      <c r="S138" s="33">
        <f>3+6+1</f>
        <v>10</v>
      </c>
      <c r="T138" s="33">
        <f>2+5</f>
        <v>7</v>
      </c>
      <c r="U138" s="33">
        <f>+Tabla1[[#This Row],[STOCK    FISICO ENERO 2021]]-Tabla1[[#This Row],[REQUISICIONES FEBRERO 2021]]</f>
        <v>48</v>
      </c>
      <c r="V138" s="33">
        <f>+Tabla1[[#This Row],[STOCK  FEBRERO 2021]]-Tabla1[[#This Row],[REQUISICIONES MARZO 2021]]+Tabla1[[#This Row],[ENTRADAS MARZO 2021]]</f>
        <v>45</v>
      </c>
      <c r="W138" s="33">
        <f>+Tabla1[[#This Row],[STOCK MARZO 2021]]-Tabla1[[#This Row],[REQUISICIONES ABRIL 2021]]+Tabla1[[#This Row],[ENTRADAS ABRIL 2021]]</f>
        <v>38</v>
      </c>
      <c r="X138" s="33">
        <f>+Tabla1[[#This Row],[STOCK ABRIL 2021]]-Tabla1[[#This Row],[REQUISICIONES MAYO 2021]]+Tabla1[[#This Row],[ENTRADAS MAYO 2021]]</f>
        <v>28</v>
      </c>
      <c r="Y138" s="33">
        <f>+Tabla1[[#This Row],[STOCK MAYO 2021]]-Tabla1[[#This Row],[REQUISICIONES JUNIO 2021]]+Tabla1[[#This Row],[ENTRADAS JUNIO 2021]]</f>
        <v>21</v>
      </c>
      <c r="Z138" s="30" t="s">
        <v>12</v>
      </c>
      <c r="AA138" s="34">
        <v>5.31</v>
      </c>
      <c r="AB138" s="35">
        <f t="shared" si="2"/>
        <v>6.2657999999999996</v>
      </c>
      <c r="AC138" s="93">
        <f>Tabla1[[#This Row],[STOCK JUNIO ]]*Tabla1[[#This Row],[COSTO UNITARIO SIN ITBIS]]</f>
        <v>111.50999999999999</v>
      </c>
    </row>
    <row r="139" spans="1:29" s="8" customFormat="1" x14ac:dyDescent="0.25">
      <c r="A139" s="261">
        <v>130</v>
      </c>
      <c r="B139" s="42">
        <v>43724</v>
      </c>
      <c r="C139" s="41" t="s">
        <v>11</v>
      </c>
      <c r="D139" s="42">
        <v>43724</v>
      </c>
      <c r="E139" s="139"/>
      <c r="F139" s="43">
        <v>1162</v>
      </c>
      <c r="G139" s="40" t="s">
        <v>97</v>
      </c>
      <c r="H139" s="40">
        <v>84</v>
      </c>
      <c r="I139" s="40">
        <v>5</v>
      </c>
      <c r="J139" s="40">
        <f>+'INVENTARIO ABRIL-JUNIO 2021'!$H139-'INVENTARIO ABRIL-JUNIO 2021'!$I139+13</f>
        <v>92</v>
      </c>
      <c r="K139" s="40"/>
      <c r="L139" s="40"/>
      <c r="M139" s="40"/>
      <c r="N139" s="40"/>
      <c r="O139" s="168"/>
      <c r="P139" s="40">
        <f>2+2+3+2+2</f>
        <v>11</v>
      </c>
      <c r="Q139" s="40">
        <f>2+2+1+1+2+3+1+1+6+2+4</f>
        <v>25</v>
      </c>
      <c r="R139" s="40">
        <f>2+2+3+3+1+2+1+1</f>
        <v>15</v>
      </c>
      <c r="S139" s="40">
        <f>2+2+2+1+12</f>
        <v>19</v>
      </c>
      <c r="T139" s="40">
        <f>3+5+2+2</f>
        <v>12</v>
      </c>
      <c r="U139" s="40">
        <f>+Tabla1[[#This Row],[STOCK    FISICO ENERO 2021]]-Tabla1[[#This Row],[REQUISICIONES FEBRERO 2021]]</f>
        <v>81</v>
      </c>
      <c r="V139" s="40">
        <f>+Tabla1[[#This Row],[STOCK  FEBRERO 2021]]-Tabla1[[#This Row],[REQUISICIONES MARZO 2021]]+Tabla1[[#This Row],[ENTRADAS MARZO 2021]]</f>
        <v>56</v>
      </c>
      <c r="W139" s="40">
        <f>+Tabla1[[#This Row],[STOCK MARZO 2021]]-Tabla1[[#This Row],[REQUISICIONES ABRIL 2021]]+Tabla1[[#This Row],[ENTRADAS ABRIL 2021]]</f>
        <v>41</v>
      </c>
      <c r="X139" s="40">
        <f>+Tabla1[[#This Row],[STOCK ABRIL 2021]]-Tabla1[[#This Row],[REQUISICIONES MAYO 2021]]+Tabla1[[#This Row],[ENTRADAS MAYO 2021]]</f>
        <v>22</v>
      </c>
      <c r="Y139" s="40">
        <f>+Tabla1[[#This Row],[STOCK MAYO 2021]]-Tabla1[[#This Row],[REQUISICIONES JUNIO 2021]]+Tabla1[[#This Row],[ENTRADAS JUNIO 2021]]</f>
        <v>10</v>
      </c>
      <c r="Z139" s="40" t="s">
        <v>12</v>
      </c>
      <c r="AA139" s="45">
        <v>12.39</v>
      </c>
      <c r="AB139" s="35">
        <f t="shared" si="2"/>
        <v>14.620200000000001</v>
      </c>
      <c r="AC139" s="93">
        <f>Tabla1[[#This Row],[STOCK JUNIO ]]*Tabla1[[#This Row],[COSTO UNITARIO SIN ITBIS]]</f>
        <v>123.9</v>
      </c>
    </row>
    <row r="140" spans="1:29" s="8" customFormat="1" x14ac:dyDescent="0.25">
      <c r="A140" s="261">
        <v>131</v>
      </c>
      <c r="B140" s="117">
        <v>44285</v>
      </c>
      <c r="C140" s="41" t="s">
        <v>11</v>
      </c>
      <c r="D140" s="117">
        <v>44285</v>
      </c>
      <c r="E140" s="138" t="s">
        <v>739</v>
      </c>
      <c r="F140" s="118"/>
      <c r="G140" s="40" t="s">
        <v>749</v>
      </c>
      <c r="H140" s="120"/>
      <c r="I140" s="120"/>
      <c r="J140" s="120">
        <f>+'INVENTARIO ABRIL-JUNIO 2021'!$H140-'INVENTARIO ABRIL-JUNIO 2021'!$I140</f>
        <v>0</v>
      </c>
      <c r="K140" s="120"/>
      <c r="L140" s="120">
        <v>24</v>
      </c>
      <c r="M140" s="120"/>
      <c r="N140" s="120"/>
      <c r="O140" s="121"/>
      <c r="P140" s="120"/>
      <c r="Q140" s="120"/>
      <c r="R140" s="120"/>
      <c r="S140" s="120"/>
      <c r="T140" s="120"/>
      <c r="U140" s="121">
        <f>+Tabla1[[#This Row],[STOCK    FISICO ENERO 2021]]-Tabla1[[#This Row],[REQUISICIONES FEBRERO 2021]]</f>
        <v>0</v>
      </c>
      <c r="V140" s="121">
        <f>+Tabla1[[#This Row],[STOCK  FEBRERO 2021]]-Tabla1[[#This Row],[REQUISICIONES MARZO 2021]]+Tabla1[[#This Row],[ENTRADAS MARZO 2021]]</f>
        <v>24</v>
      </c>
      <c r="W140" s="121">
        <f>+Tabla1[[#This Row],[STOCK MARZO 2021]]-Tabla1[[#This Row],[REQUISICIONES ABRIL 2021]]+Tabla1[[#This Row],[ENTRADAS ABRIL 2021]]</f>
        <v>24</v>
      </c>
      <c r="X140" s="121">
        <f>+Tabla1[[#This Row],[STOCK ABRIL 2021]]-Tabla1[[#This Row],[REQUISICIONES MAYO 2021]]+Tabla1[[#This Row],[ENTRADAS MAYO 2021]]</f>
        <v>24</v>
      </c>
      <c r="Y140" s="121">
        <f>+Tabla1[[#This Row],[STOCK MAYO 2021]]-Tabla1[[#This Row],[REQUISICIONES JUNIO 2021]]+Tabla1[[#This Row],[ENTRADAS JUNIO 2021]]</f>
        <v>24</v>
      </c>
      <c r="Z140" s="40" t="s">
        <v>12</v>
      </c>
      <c r="AA140" s="122">
        <v>12</v>
      </c>
      <c r="AB140" s="93">
        <f t="shared" si="2"/>
        <v>14.16</v>
      </c>
      <c r="AC140" s="93">
        <f>Tabla1[[#This Row],[STOCK JUNIO ]]*Tabla1[[#This Row],[COSTO UNITARIO SIN ITBIS]]</f>
        <v>288</v>
      </c>
    </row>
    <row r="141" spans="1:29" s="8" customFormat="1" x14ac:dyDescent="0.25">
      <c r="A141" s="261">
        <v>132</v>
      </c>
      <c r="B141" s="42">
        <v>43724</v>
      </c>
      <c r="C141" s="41" t="s">
        <v>11</v>
      </c>
      <c r="D141" s="42">
        <v>43724</v>
      </c>
      <c r="E141" s="139"/>
      <c r="F141" s="43">
        <v>1160</v>
      </c>
      <c r="G141" s="40" t="s">
        <v>98</v>
      </c>
      <c r="H141" s="40">
        <v>349</v>
      </c>
      <c r="I141" s="40"/>
      <c r="J141" s="40">
        <f>+'INVENTARIO ABRIL-JUNIO 2021'!$H141-'INVENTARIO ABRIL-JUNIO 2021'!$I141</f>
        <v>349</v>
      </c>
      <c r="K141" s="40"/>
      <c r="L141" s="40"/>
      <c r="M141" s="40"/>
      <c r="N141" s="40"/>
      <c r="O141" s="168"/>
      <c r="P141" s="40">
        <f>2+2</f>
        <v>4</v>
      </c>
      <c r="Q141" s="40">
        <f>1+1</f>
        <v>2</v>
      </c>
      <c r="R141" s="40">
        <f>3+5+1</f>
        <v>9</v>
      </c>
      <c r="S141" s="40">
        <f>2+2+12</f>
        <v>16</v>
      </c>
      <c r="T141" s="40">
        <f>2+2</f>
        <v>4</v>
      </c>
      <c r="U141" s="40">
        <f>+Tabla1[[#This Row],[STOCK    FISICO ENERO 2021]]-Tabla1[[#This Row],[REQUISICIONES FEBRERO 2021]]</f>
        <v>345</v>
      </c>
      <c r="V141" s="40">
        <f>+Tabla1[[#This Row],[STOCK  FEBRERO 2021]]-Tabla1[[#This Row],[REQUISICIONES MARZO 2021]]+Tabla1[[#This Row],[ENTRADAS MARZO 2021]]</f>
        <v>343</v>
      </c>
      <c r="W141" s="40">
        <f>+Tabla1[[#This Row],[STOCK MARZO 2021]]-Tabla1[[#This Row],[REQUISICIONES ABRIL 2021]]+Tabla1[[#This Row],[ENTRADAS ABRIL 2021]]</f>
        <v>334</v>
      </c>
      <c r="X141" s="40">
        <f>+Tabla1[[#This Row],[STOCK ABRIL 2021]]-Tabla1[[#This Row],[REQUISICIONES MAYO 2021]]+Tabla1[[#This Row],[ENTRADAS MAYO 2021]]</f>
        <v>318</v>
      </c>
      <c r="Y141" s="40">
        <f>+Tabla1[[#This Row],[STOCK MAYO 2021]]-Tabla1[[#This Row],[REQUISICIONES JUNIO 2021]]+Tabla1[[#This Row],[ENTRADAS JUNIO 2021]]</f>
        <v>314</v>
      </c>
      <c r="Z141" s="40" t="s">
        <v>12</v>
      </c>
      <c r="AA141" s="45">
        <v>12.39</v>
      </c>
      <c r="AB141" s="35">
        <f t="shared" si="2"/>
        <v>14.620200000000001</v>
      </c>
      <c r="AC141" s="93">
        <f>Tabla1[[#This Row],[STOCK JUNIO ]]*Tabla1[[#This Row],[COSTO UNITARIO SIN ITBIS]]</f>
        <v>3890.46</v>
      </c>
    </row>
    <row r="142" spans="1:29" s="8" customFormat="1" x14ac:dyDescent="0.25">
      <c r="A142" s="261">
        <v>133</v>
      </c>
      <c r="B142" s="42">
        <v>43724</v>
      </c>
      <c r="C142" s="41" t="s">
        <v>11</v>
      </c>
      <c r="D142" s="42">
        <v>43724</v>
      </c>
      <c r="E142" s="139"/>
      <c r="F142" s="43">
        <v>1163</v>
      </c>
      <c r="G142" s="40" t="s">
        <v>99</v>
      </c>
      <c r="H142" s="40">
        <v>264</v>
      </c>
      <c r="I142" s="40"/>
      <c r="J142" s="40">
        <f>+'INVENTARIO ABRIL-JUNIO 2021'!$H142-'INVENTARIO ABRIL-JUNIO 2021'!$I142</f>
        <v>264</v>
      </c>
      <c r="K142" s="40"/>
      <c r="L142" s="40"/>
      <c r="M142" s="40"/>
      <c r="N142" s="40"/>
      <c r="O142" s="168"/>
      <c r="P142" s="40">
        <f>2+3+2+2+2</f>
        <v>11</v>
      </c>
      <c r="Q142" s="40">
        <f>2+3+1+12+4</f>
        <v>22</v>
      </c>
      <c r="R142" s="40">
        <f>5+6+5+1+3</f>
        <v>20</v>
      </c>
      <c r="S142" s="40">
        <f>2+2+1</f>
        <v>5</v>
      </c>
      <c r="T142" s="40">
        <f>4+2+2+5+1+2</f>
        <v>16</v>
      </c>
      <c r="U142" s="40">
        <f>+Tabla1[[#This Row],[STOCK    FISICO ENERO 2021]]-Tabla1[[#This Row],[REQUISICIONES FEBRERO 2021]]</f>
        <v>253</v>
      </c>
      <c r="V142" s="40">
        <f>+Tabla1[[#This Row],[STOCK  FEBRERO 2021]]-Tabla1[[#This Row],[REQUISICIONES MARZO 2021]]+Tabla1[[#This Row],[ENTRADAS MARZO 2021]]</f>
        <v>231</v>
      </c>
      <c r="W142" s="40">
        <f>+Tabla1[[#This Row],[STOCK MARZO 2021]]-Tabla1[[#This Row],[REQUISICIONES ABRIL 2021]]+Tabla1[[#This Row],[ENTRADAS ABRIL 2021]]</f>
        <v>211</v>
      </c>
      <c r="X142" s="40">
        <f>+Tabla1[[#This Row],[STOCK ABRIL 2021]]-Tabla1[[#This Row],[REQUISICIONES MAYO 2021]]+Tabla1[[#This Row],[ENTRADAS MAYO 2021]]</f>
        <v>206</v>
      </c>
      <c r="Y142" s="40">
        <f>+Tabla1[[#This Row],[STOCK MAYO 2021]]-Tabla1[[#This Row],[REQUISICIONES JUNIO 2021]]+Tabla1[[#This Row],[ENTRADAS JUNIO 2021]]</f>
        <v>190</v>
      </c>
      <c r="Z142" s="40" t="s">
        <v>12</v>
      </c>
      <c r="AA142" s="45">
        <v>12.39</v>
      </c>
      <c r="AB142" s="35">
        <f t="shared" si="2"/>
        <v>14.620200000000001</v>
      </c>
      <c r="AC142" s="93">
        <f>Tabla1[[#This Row],[STOCK JUNIO ]]*Tabla1[[#This Row],[COSTO UNITARIO SIN ITBIS]]</f>
        <v>2354.1</v>
      </c>
    </row>
    <row r="143" spans="1:29" s="8" customFormat="1" x14ac:dyDescent="0.25">
      <c r="A143" s="261">
        <v>134</v>
      </c>
      <c r="B143" s="42">
        <v>43724</v>
      </c>
      <c r="C143" s="41" t="s">
        <v>11</v>
      </c>
      <c r="D143" s="42">
        <v>43724</v>
      </c>
      <c r="E143" s="139"/>
      <c r="F143" s="43">
        <v>1161</v>
      </c>
      <c r="G143" s="40" t="s">
        <v>100</v>
      </c>
      <c r="H143" s="40">
        <v>120</v>
      </c>
      <c r="I143" s="40"/>
      <c r="J143" s="40">
        <f>+'INVENTARIO ABRIL-JUNIO 2021'!$H143-'INVENTARIO ABRIL-JUNIO 2021'!$I143</f>
        <v>120</v>
      </c>
      <c r="K143" s="40"/>
      <c r="L143" s="40"/>
      <c r="M143" s="40"/>
      <c r="N143" s="40"/>
      <c r="O143" s="168"/>
      <c r="P143" s="40">
        <f>2+3+2</f>
        <v>7</v>
      </c>
      <c r="Q143" s="40">
        <f>2+1+6+12+4</f>
        <v>25</v>
      </c>
      <c r="R143" s="40">
        <f>2+5+5</f>
        <v>12</v>
      </c>
      <c r="S143" s="40">
        <f>2+2+4+1</f>
        <v>9</v>
      </c>
      <c r="T143" s="40">
        <f>5+1</f>
        <v>6</v>
      </c>
      <c r="U143" s="40">
        <f>+Tabla1[[#This Row],[STOCK    FISICO ENERO 2021]]-Tabla1[[#This Row],[REQUISICIONES FEBRERO 2021]]</f>
        <v>113</v>
      </c>
      <c r="V143" s="40">
        <f>+Tabla1[[#This Row],[STOCK  FEBRERO 2021]]-Tabla1[[#This Row],[REQUISICIONES MARZO 2021]]+Tabla1[[#This Row],[ENTRADAS MARZO 2021]]</f>
        <v>88</v>
      </c>
      <c r="W143" s="40">
        <f>+Tabla1[[#This Row],[STOCK MARZO 2021]]-Tabla1[[#This Row],[REQUISICIONES ABRIL 2021]]+Tabla1[[#This Row],[ENTRADAS ABRIL 2021]]</f>
        <v>76</v>
      </c>
      <c r="X143" s="40">
        <f>+Tabla1[[#This Row],[STOCK ABRIL 2021]]-Tabla1[[#This Row],[REQUISICIONES MAYO 2021]]+Tabla1[[#This Row],[ENTRADAS MAYO 2021]]</f>
        <v>67</v>
      </c>
      <c r="Y143" s="40">
        <f>+Tabla1[[#This Row],[STOCK MAYO 2021]]-Tabla1[[#This Row],[REQUISICIONES JUNIO 2021]]+Tabla1[[#This Row],[ENTRADAS JUNIO 2021]]</f>
        <v>61</v>
      </c>
      <c r="Z143" s="40" t="s">
        <v>12</v>
      </c>
      <c r="AA143" s="45">
        <v>12.39</v>
      </c>
      <c r="AB143" s="35">
        <f t="shared" si="2"/>
        <v>14.620200000000001</v>
      </c>
      <c r="AC143" s="93">
        <f>Tabla1[[#This Row],[STOCK JUNIO ]]*Tabla1[[#This Row],[COSTO UNITARIO SIN ITBIS]]</f>
        <v>755.79000000000008</v>
      </c>
    </row>
    <row r="144" spans="1:29" s="8" customFormat="1" x14ac:dyDescent="0.25">
      <c r="A144" s="261">
        <v>135</v>
      </c>
      <c r="B144" s="31">
        <v>43325</v>
      </c>
      <c r="C144" s="28" t="s">
        <v>11</v>
      </c>
      <c r="D144" s="31">
        <v>43325</v>
      </c>
      <c r="E144" s="137"/>
      <c r="F144" s="28">
        <v>1355</v>
      </c>
      <c r="G144" s="38" t="s">
        <v>101</v>
      </c>
      <c r="H144" s="33">
        <v>175</v>
      </c>
      <c r="I144" s="33"/>
      <c r="J144" s="33">
        <f>+'INVENTARIO ABRIL-JUNIO 2021'!$H144-'INVENTARIO ABRIL-JUNIO 2021'!$I144</f>
        <v>175</v>
      </c>
      <c r="K144" s="33"/>
      <c r="L144" s="33"/>
      <c r="M144" s="33"/>
      <c r="N144" s="33"/>
      <c r="O144" s="167"/>
      <c r="P144" s="33">
        <f>2+2+3+2</f>
        <v>9</v>
      </c>
      <c r="Q144" s="33">
        <f>1+1+12+3</f>
        <v>17</v>
      </c>
      <c r="R144" s="33">
        <f>6+5+2+2+1</f>
        <v>16</v>
      </c>
      <c r="S144" s="33">
        <f>6+2+1</f>
        <v>9</v>
      </c>
      <c r="T144" s="33">
        <f>2+5+1+2</f>
        <v>10</v>
      </c>
      <c r="U144" s="33">
        <f>+Tabla1[[#This Row],[STOCK    FISICO ENERO 2021]]-Tabla1[[#This Row],[REQUISICIONES FEBRERO 2021]]</f>
        <v>166</v>
      </c>
      <c r="V144" s="33">
        <f>+Tabla1[[#This Row],[STOCK  FEBRERO 2021]]-Tabla1[[#This Row],[REQUISICIONES MARZO 2021]]+Tabla1[[#This Row],[ENTRADAS MARZO 2021]]</f>
        <v>149</v>
      </c>
      <c r="W144" s="33">
        <f>+Tabla1[[#This Row],[STOCK MARZO 2021]]-Tabla1[[#This Row],[REQUISICIONES ABRIL 2021]]+Tabla1[[#This Row],[ENTRADAS ABRIL 2021]]</f>
        <v>133</v>
      </c>
      <c r="X144" s="33">
        <f>+Tabla1[[#This Row],[STOCK ABRIL 2021]]-Tabla1[[#This Row],[REQUISICIONES MAYO 2021]]+Tabla1[[#This Row],[ENTRADAS MAYO 2021]]</f>
        <v>124</v>
      </c>
      <c r="Y144" s="33">
        <f>+Tabla1[[#This Row],[STOCK MAYO 2021]]-Tabla1[[#This Row],[REQUISICIONES JUNIO 2021]]+Tabla1[[#This Row],[ENTRADAS JUNIO 2021]]</f>
        <v>114</v>
      </c>
      <c r="Z144" s="30" t="s">
        <v>12</v>
      </c>
      <c r="AA144" s="34">
        <v>12.39</v>
      </c>
      <c r="AB144" s="35">
        <f t="shared" si="2"/>
        <v>14.620200000000001</v>
      </c>
      <c r="AC144" s="93">
        <f>Tabla1[[#This Row],[STOCK JUNIO ]]*Tabla1[[#This Row],[COSTO UNITARIO SIN ITBIS]]</f>
        <v>1412.46</v>
      </c>
    </row>
    <row r="145" spans="1:29" s="8" customFormat="1" x14ac:dyDescent="0.25">
      <c r="A145" s="261">
        <v>136</v>
      </c>
      <c r="B145" s="42">
        <v>43108</v>
      </c>
      <c r="C145" s="41" t="s">
        <v>11</v>
      </c>
      <c r="D145" s="42">
        <v>43108</v>
      </c>
      <c r="E145" s="139"/>
      <c r="F145" s="43">
        <v>1166</v>
      </c>
      <c r="G145" s="40" t="s">
        <v>102</v>
      </c>
      <c r="H145" s="40">
        <v>20</v>
      </c>
      <c r="I145" s="40"/>
      <c r="J145" s="40">
        <f>+'INVENTARIO ABRIL-JUNIO 2021'!$H145-'INVENTARIO ABRIL-JUNIO 2021'!$I145</f>
        <v>20</v>
      </c>
      <c r="K145" s="40"/>
      <c r="L145" s="40"/>
      <c r="M145" s="40"/>
      <c r="N145" s="40"/>
      <c r="O145" s="168"/>
      <c r="P145" s="40"/>
      <c r="Q145" s="40"/>
      <c r="R145" s="40">
        <f>3+5</f>
        <v>8</v>
      </c>
      <c r="S145" s="40"/>
      <c r="T145" s="40"/>
      <c r="U145" s="40">
        <f>+Tabla1[[#This Row],[STOCK    FISICO ENERO 2021]]-Tabla1[[#This Row],[REQUISICIONES FEBRERO 2021]]</f>
        <v>20</v>
      </c>
      <c r="V145" s="40">
        <f>+Tabla1[[#This Row],[STOCK  FEBRERO 2021]]-Tabla1[[#This Row],[REQUISICIONES MARZO 2021]]+Tabla1[[#This Row],[ENTRADAS MARZO 2021]]</f>
        <v>20</v>
      </c>
      <c r="W145" s="40">
        <f>+Tabla1[[#This Row],[STOCK MARZO 2021]]-Tabla1[[#This Row],[REQUISICIONES ABRIL 2021]]+Tabla1[[#This Row],[ENTRADAS ABRIL 2021]]</f>
        <v>12</v>
      </c>
      <c r="X145" s="40">
        <f>+Tabla1[[#This Row],[STOCK ABRIL 2021]]-Tabla1[[#This Row],[REQUISICIONES MAYO 2021]]+Tabla1[[#This Row],[ENTRADAS MAYO 2021]]</f>
        <v>12</v>
      </c>
      <c r="Y145" s="40">
        <f>+Tabla1[[#This Row],[STOCK MAYO 2021]]-Tabla1[[#This Row],[REQUISICIONES JUNIO 2021]]+Tabla1[[#This Row],[ENTRADAS JUNIO 2021]]</f>
        <v>12</v>
      </c>
      <c r="Z145" s="40" t="s">
        <v>103</v>
      </c>
      <c r="AA145" s="45">
        <v>295</v>
      </c>
      <c r="AB145" s="35">
        <f t="shared" si="2"/>
        <v>348.1</v>
      </c>
      <c r="AC145" s="93">
        <f>Tabla1[[#This Row],[STOCK JUNIO ]]*Tabla1[[#This Row],[COSTO UNITARIO SIN ITBIS]]</f>
        <v>3540</v>
      </c>
    </row>
    <row r="146" spans="1:29" s="8" customFormat="1" x14ac:dyDescent="0.25">
      <c r="A146" s="261">
        <v>137</v>
      </c>
      <c r="B146" s="53">
        <v>44281</v>
      </c>
      <c r="C146" s="41" t="s">
        <v>11</v>
      </c>
      <c r="D146" s="53">
        <v>44280</v>
      </c>
      <c r="E146" s="140" t="s">
        <v>731</v>
      </c>
      <c r="F146" s="43"/>
      <c r="G146" s="40" t="s">
        <v>775</v>
      </c>
      <c r="H146" s="40">
        <v>150</v>
      </c>
      <c r="I146" s="40">
        <f>3+1+3+2+2+3+2+1+2+2+4+2+3+2+2+3+3+3</f>
        <v>43</v>
      </c>
      <c r="J146" s="40">
        <f>+'INVENTARIO ABRIL-JUNIO 2021'!$H146-'INVENTARIO ABRIL-JUNIO 2021'!$I146+3</f>
        <v>110</v>
      </c>
      <c r="K146" s="40"/>
      <c r="L146" s="40">
        <f>1100+100</f>
        <v>1200</v>
      </c>
      <c r="M146" s="40"/>
      <c r="N146" s="40"/>
      <c r="O146" s="168"/>
      <c r="P146" s="40">
        <f>3+5+3+2+5+5+2+3+5+4+1+1+1+3+2+2+3+3+1+2+1+1+2+2+2+5+3+2+2+2+1+2+3+3+2+3+1+1+1+2+1+1+1+2+2+1+1+1+1+2</f>
        <v>110</v>
      </c>
      <c r="Q146" s="40">
        <f>1+1+2+1+1+1+1+1+1+1+1+2+2+2+2+1+1+5+1+1+1+1+1+2+2+2+2+1+2+1+1+2+1+4+2+3+2+1+1+1+1+3+2+2+3+3+4+4+3+5+2+1+6+30+3+3+5+4+4+2+2+3+4+4+3+2+3+1+10</f>
        <v>184</v>
      </c>
      <c r="R146" s="40">
        <f>2+1+2+1+5+3+4+7+3+3+2+3+8+8+4+4+5+3+4+4+4+3+3+5+3+4+4+4+3+3+1+2+6+4+2+3+3+3+4+2+1+4+4+3+3+4+4</f>
        <v>165</v>
      </c>
      <c r="S146" s="40">
        <f>3+3+2+6+2+2+5+2+3+5+2+2+2+2+5+3+2+2+5+1+1+1+1+6+2+8+3+2+3+5+8+4+6+2+1+2+2+2+5+2+4+6+2+20+10+2+3+3+3</f>
        <v>178</v>
      </c>
      <c r="T146" s="40">
        <f>3+2+4+5+3+2+3+2+1+2+5+3+2+4+5+6+2+2+2+10+6+5+3+2+2+2+5+4+4+3+4+3+5+3+2+1+1+4+2+4+4+3</f>
        <v>140</v>
      </c>
      <c r="U146" s="40">
        <f>+Tabla1[[#This Row],[STOCK    FISICO ENERO 2021]]-Tabla1[[#This Row],[REQUISICIONES FEBRERO 2021]]</f>
        <v>0</v>
      </c>
      <c r="V146" s="40">
        <f>+Tabla1[[#This Row],[STOCK  FEBRERO 2021]]-Tabla1[[#This Row],[REQUISICIONES MARZO 2021]]+Tabla1[[#This Row],[ENTRADAS MARZO 2021]]</f>
        <v>1016</v>
      </c>
      <c r="W146" s="40">
        <f>+Tabla1[[#This Row],[STOCK MARZO 2021]]-Tabla1[[#This Row],[REQUISICIONES ABRIL 2021]]+Tabla1[[#This Row],[ENTRADAS ABRIL 2021]]</f>
        <v>851</v>
      </c>
      <c r="X146" s="40">
        <f>+Tabla1[[#This Row],[STOCK ABRIL 2021]]-Tabla1[[#This Row],[REQUISICIONES MAYO 2021]]+Tabla1[[#This Row],[ENTRADAS MAYO 2021]]</f>
        <v>673</v>
      </c>
      <c r="Y146" s="40">
        <f>+Tabla1[[#This Row],[STOCK MAYO 2021]]-Tabla1[[#This Row],[REQUISICIONES JUNIO 2021]]+Tabla1[[#This Row],[ENTRADAS JUNIO 2021]]</f>
        <v>533</v>
      </c>
      <c r="Z146" s="40" t="s">
        <v>103</v>
      </c>
      <c r="AA146" s="45">
        <v>172</v>
      </c>
      <c r="AB146" s="93">
        <f t="shared" si="2"/>
        <v>202.96</v>
      </c>
      <c r="AC146" s="93">
        <f>Tabla1[[#This Row],[STOCK JUNIO ]]*Tabla1[[#This Row],[COSTO UNITARIO SIN ITBIS]]</f>
        <v>91676</v>
      </c>
    </row>
    <row r="147" spans="1:29" s="8" customFormat="1" x14ac:dyDescent="0.25">
      <c r="A147" s="261">
        <v>138</v>
      </c>
      <c r="B147" s="42">
        <v>44281</v>
      </c>
      <c r="C147" s="41" t="s">
        <v>11</v>
      </c>
      <c r="D147" s="42">
        <v>44281</v>
      </c>
      <c r="E147" s="140" t="s">
        <v>731</v>
      </c>
      <c r="F147" s="43"/>
      <c r="G147" s="40" t="s">
        <v>776</v>
      </c>
      <c r="H147" s="40">
        <v>82</v>
      </c>
      <c r="I147" s="40">
        <v>4</v>
      </c>
      <c r="J147" s="40">
        <f>+'INVENTARIO ABRIL-JUNIO 2021'!$H147-'INVENTARIO ABRIL-JUNIO 2021'!$I147</f>
        <v>78</v>
      </c>
      <c r="K147" s="40"/>
      <c r="L147" s="40">
        <v>200</v>
      </c>
      <c r="M147" s="40"/>
      <c r="N147" s="40"/>
      <c r="O147" s="168"/>
      <c r="P147" s="40">
        <f>1+1+4+1</f>
        <v>7</v>
      </c>
      <c r="Q147" s="40">
        <f>1+3+15+1</f>
        <v>20</v>
      </c>
      <c r="R147" s="40">
        <f>1+2+1+3+2</f>
        <v>9</v>
      </c>
      <c r="S147" s="40">
        <f>1+1+1+1+1+2+10</f>
        <v>17</v>
      </c>
      <c r="T147" s="40">
        <f>1+3+2+1+3+3+2</f>
        <v>15</v>
      </c>
      <c r="U147" s="40">
        <f>+Tabla1[[#This Row],[STOCK    FISICO ENERO 2021]]-Tabla1[[#This Row],[REQUISICIONES FEBRERO 2021]]</f>
        <v>71</v>
      </c>
      <c r="V147" s="40">
        <f>+Tabla1[[#This Row],[STOCK  FEBRERO 2021]]-Tabla1[[#This Row],[REQUISICIONES MARZO 2021]]+Tabla1[[#This Row],[ENTRADAS MARZO 2021]]</f>
        <v>251</v>
      </c>
      <c r="W147" s="40">
        <f>+Tabla1[[#This Row],[STOCK MARZO 2021]]-Tabla1[[#This Row],[REQUISICIONES ABRIL 2021]]+Tabla1[[#This Row],[ENTRADAS ABRIL 2021]]</f>
        <v>242</v>
      </c>
      <c r="X147" s="40">
        <f>+Tabla1[[#This Row],[STOCK ABRIL 2021]]-Tabla1[[#This Row],[REQUISICIONES MAYO 2021]]+Tabla1[[#This Row],[ENTRADAS MAYO 2021]]</f>
        <v>225</v>
      </c>
      <c r="Y147" s="40">
        <f>+Tabla1[[#This Row],[STOCK MAYO 2021]]-Tabla1[[#This Row],[REQUISICIONES JUNIO 2021]]+Tabla1[[#This Row],[ENTRADAS JUNIO 2021]]</f>
        <v>210</v>
      </c>
      <c r="Z147" s="40" t="s">
        <v>103</v>
      </c>
      <c r="AA147" s="45">
        <v>241.9</v>
      </c>
      <c r="AB147" s="93">
        <f t="shared" si="2"/>
        <v>285.44200000000001</v>
      </c>
      <c r="AC147" s="93">
        <f>Tabla1[[#This Row],[STOCK JUNIO ]]*Tabla1[[#This Row],[COSTO UNITARIO SIN ITBIS]]</f>
        <v>50799</v>
      </c>
    </row>
    <row r="148" spans="1:29" s="8" customFormat="1" x14ac:dyDescent="0.25">
      <c r="A148" s="261">
        <v>139</v>
      </c>
      <c r="B148" s="42">
        <v>43671</v>
      </c>
      <c r="C148" s="41" t="s">
        <v>11</v>
      </c>
      <c r="D148" s="42">
        <v>43671</v>
      </c>
      <c r="E148" s="139"/>
      <c r="F148" s="43">
        <v>1146</v>
      </c>
      <c r="G148" s="40" t="s">
        <v>104</v>
      </c>
      <c r="H148" s="40">
        <v>24</v>
      </c>
      <c r="I148" s="40"/>
      <c r="J148" s="40">
        <f>+'INVENTARIO ABRIL-JUNIO 2021'!$H148-'INVENTARIO ABRIL-JUNIO 2021'!$I148</f>
        <v>24</v>
      </c>
      <c r="K148" s="40"/>
      <c r="L148" s="40"/>
      <c r="M148" s="40"/>
      <c r="N148" s="40"/>
      <c r="O148" s="168"/>
      <c r="P148" s="40">
        <v>1</v>
      </c>
      <c r="Q148" s="40"/>
      <c r="R148" s="40">
        <f>3+1+4</f>
        <v>8</v>
      </c>
      <c r="S148" s="40">
        <v>6</v>
      </c>
      <c r="T148" s="40">
        <f>1+2</f>
        <v>3</v>
      </c>
      <c r="U148" s="40">
        <f>+Tabla1[[#This Row],[STOCK    FISICO ENERO 2021]]-Tabla1[[#This Row],[REQUISICIONES FEBRERO 2021]]</f>
        <v>23</v>
      </c>
      <c r="V148" s="40">
        <f>+Tabla1[[#This Row],[STOCK  FEBRERO 2021]]-Tabla1[[#This Row],[REQUISICIONES MARZO 2021]]+Tabla1[[#This Row],[ENTRADAS MARZO 2021]]</f>
        <v>23</v>
      </c>
      <c r="W148" s="40">
        <f>+Tabla1[[#This Row],[STOCK MARZO 2021]]-Tabla1[[#This Row],[REQUISICIONES ABRIL 2021]]+Tabla1[[#This Row],[ENTRADAS ABRIL 2021]]</f>
        <v>15</v>
      </c>
      <c r="X148" s="40">
        <f>+Tabla1[[#This Row],[STOCK ABRIL 2021]]-Tabla1[[#This Row],[REQUISICIONES MAYO 2021]]+Tabla1[[#This Row],[ENTRADAS MAYO 2021]]</f>
        <v>9</v>
      </c>
      <c r="Y148" s="40">
        <f>+Tabla1[[#This Row],[STOCK MAYO 2021]]-Tabla1[[#This Row],[REQUISICIONES JUNIO 2021]]+Tabla1[[#This Row],[ENTRADAS JUNIO 2021]]</f>
        <v>6</v>
      </c>
      <c r="Z148" s="40" t="s">
        <v>105</v>
      </c>
      <c r="AA148" s="45">
        <v>454.3</v>
      </c>
      <c r="AB148" s="35">
        <f t="shared" si="2"/>
        <v>536.07400000000007</v>
      </c>
      <c r="AC148" s="93">
        <f>Tabla1[[#This Row],[STOCK JUNIO ]]*Tabla1[[#This Row],[COSTO UNITARIO SIN ITBIS]]</f>
        <v>2725.8</v>
      </c>
    </row>
    <row r="149" spans="1:29" s="8" customFormat="1" x14ac:dyDescent="0.25">
      <c r="A149" s="261">
        <v>140</v>
      </c>
      <c r="B149" s="42">
        <v>43103</v>
      </c>
      <c r="C149" s="41" t="s">
        <v>11</v>
      </c>
      <c r="D149" s="42">
        <v>43103</v>
      </c>
      <c r="E149" s="139"/>
      <c r="F149" s="43">
        <v>1170</v>
      </c>
      <c r="G149" s="40" t="s">
        <v>106</v>
      </c>
      <c r="H149" s="40">
        <v>19</v>
      </c>
      <c r="I149" s="40">
        <v>12</v>
      </c>
      <c r="J149" s="40">
        <f>+'INVENTARIO ABRIL-JUNIO 2021'!$H149-'INVENTARIO ABRIL-JUNIO 2021'!$I149</f>
        <v>7</v>
      </c>
      <c r="K149" s="40"/>
      <c r="L149" s="40"/>
      <c r="M149" s="40"/>
      <c r="N149" s="40"/>
      <c r="O149" s="168"/>
      <c r="P149" s="40"/>
      <c r="Q149" s="40"/>
      <c r="R149" s="40"/>
      <c r="S149" s="40"/>
      <c r="T149" s="40"/>
      <c r="U149" s="40">
        <f>+Tabla1[[#This Row],[STOCK    FISICO ENERO 2021]]-Tabla1[[#This Row],[REQUISICIONES FEBRERO 2021]]</f>
        <v>7</v>
      </c>
      <c r="V149" s="40">
        <f>+Tabla1[[#This Row],[STOCK  FEBRERO 2021]]-Tabla1[[#This Row],[REQUISICIONES MARZO 2021]]+Tabla1[[#This Row],[ENTRADAS MARZO 2021]]</f>
        <v>7</v>
      </c>
      <c r="W149" s="40">
        <f>+Tabla1[[#This Row],[STOCK MARZO 2021]]-Tabla1[[#This Row],[REQUISICIONES ABRIL 2021]]+Tabla1[[#This Row],[ENTRADAS ABRIL 2021]]</f>
        <v>7</v>
      </c>
      <c r="X149" s="40">
        <f>+Tabla1[[#This Row],[STOCK ABRIL 2021]]-Tabla1[[#This Row],[REQUISICIONES MAYO 2021]]+Tabla1[[#This Row],[ENTRADAS MAYO 2021]]</f>
        <v>7</v>
      </c>
      <c r="Y149" s="40">
        <f>+Tabla1[[#This Row],[STOCK MAYO 2021]]-Tabla1[[#This Row],[REQUISICIONES JUNIO 2021]]+Tabla1[[#This Row],[ENTRADAS JUNIO 2021]]</f>
        <v>7</v>
      </c>
      <c r="Z149" s="40" t="s">
        <v>12</v>
      </c>
      <c r="AA149" s="45">
        <v>650</v>
      </c>
      <c r="AB149" s="35">
        <f t="shared" si="2"/>
        <v>767</v>
      </c>
      <c r="AC149" s="93">
        <f>Tabla1[[#This Row],[STOCK JUNIO ]]*Tabla1[[#This Row],[COSTO UNITARIO SIN ITBIS]]</f>
        <v>4550</v>
      </c>
    </row>
    <row r="150" spans="1:29" s="8" customFormat="1" x14ac:dyDescent="0.25">
      <c r="A150" s="261">
        <v>141</v>
      </c>
      <c r="B150" s="117">
        <v>44286</v>
      </c>
      <c r="C150" s="41" t="s">
        <v>11</v>
      </c>
      <c r="D150" s="117">
        <v>44286</v>
      </c>
      <c r="E150" s="138" t="s">
        <v>767</v>
      </c>
      <c r="F150" s="118"/>
      <c r="G150" s="40" t="s">
        <v>771</v>
      </c>
      <c r="H150" s="120"/>
      <c r="I150" s="120"/>
      <c r="J150" s="120">
        <f>+'INVENTARIO ABRIL-JUNIO 2021'!$H150-'INVENTARIO ABRIL-JUNIO 2021'!$I150</f>
        <v>0</v>
      </c>
      <c r="K150" s="120"/>
      <c r="L150" s="120">
        <v>20</v>
      </c>
      <c r="M150" s="120"/>
      <c r="N150" s="120"/>
      <c r="O150" s="121"/>
      <c r="P150" s="120"/>
      <c r="Q150" s="120"/>
      <c r="R150" s="120"/>
      <c r="S150" s="120"/>
      <c r="T150" s="120"/>
      <c r="U150" s="121">
        <f>+Tabla1[[#This Row],[STOCK    FISICO ENERO 2021]]-Tabla1[[#This Row],[REQUISICIONES FEBRERO 2021]]</f>
        <v>0</v>
      </c>
      <c r="V150" s="121">
        <f>+Tabla1[[#This Row],[STOCK  FEBRERO 2021]]-Tabla1[[#This Row],[REQUISICIONES MARZO 2021]]+Tabla1[[#This Row],[ENTRADAS MARZO 2021]]</f>
        <v>20</v>
      </c>
      <c r="W150" s="121">
        <f>+Tabla1[[#This Row],[STOCK MARZO 2021]]-Tabla1[[#This Row],[REQUISICIONES ABRIL 2021]]+Tabla1[[#This Row],[ENTRADAS ABRIL 2021]]</f>
        <v>20</v>
      </c>
      <c r="X150" s="121">
        <f>+Tabla1[[#This Row],[STOCK ABRIL 2021]]-Tabla1[[#This Row],[REQUISICIONES MAYO 2021]]+Tabla1[[#This Row],[ENTRADAS MAYO 2021]]</f>
        <v>20</v>
      </c>
      <c r="Y150" s="121">
        <f>+Tabla1[[#This Row],[STOCK MAYO 2021]]-Tabla1[[#This Row],[REQUISICIONES JUNIO 2021]]+Tabla1[[#This Row],[ENTRADAS JUNIO 2021]]</f>
        <v>20</v>
      </c>
      <c r="Z150" s="40" t="s">
        <v>12</v>
      </c>
      <c r="AA150" s="122">
        <v>380</v>
      </c>
      <c r="AB150" s="93">
        <f t="shared" si="2"/>
        <v>448.4</v>
      </c>
      <c r="AC150" s="93">
        <f>Tabla1[[#This Row],[STOCK JUNIO ]]*Tabla1[[#This Row],[COSTO UNITARIO SIN ITBIS]]</f>
        <v>7600</v>
      </c>
    </row>
    <row r="151" spans="1:29" s="9" customFormat="1" x14ac:dyDescent="0.25">
      <c r="A151" s="261">
        <v>142</v>
      </c>
      <c r="B151" s="31">
        <v>43440</v>
      </c>
      <c r="C151" s="28" t="s">
        <v>11</v>
      </c>
      <c r="D151" s="31">
        <v>43440</v>
      </c>
      <c r="E151" s="137"/>
      <c r="F151" s="28">
        <v>1385</v>
      </c>
      <c r="G151" s="32" t="s">
        <v>107</v>
      </c>
      <c r="H151" s="33">
        <v>45</v>
      </c>
      <c r="I151" s="33"/>
      <c r="J151" s="33">
        <f>+'INVENTARIO ABRIL-JUNIO 2021'!$H151-'INVENTARIO ABRIL-JUNIO 2021'!$I151</f>
        <v>45</v>
      </c>
      <c r="K151" s="33"/>
      <c r="L151" s="33"/>
      <c r="M151" s="33"/>
      <c r="N151" s="33"/>
      <c r="O151" s="167"/>
      <c r="P151" s="33">
        <f>3+2+2</f>
        <v>7</v>
      </c>
      <c r="Q151" s="33">
        <v>3</v>
      </c>
      <c r="R151" s="33">
        <f>3+5</f>
        <v>8</v>
      </c>
      <c r="S151" s="33">
        <f>1+2</f>
        <v>3</v>
      </c>
      <c r="T151" s="33">
        <f>6+5</f>
        <v>11</v>
      </c>
      <c r="U151" s="33">
        <f>+Tabla1[[#This Row],[STOCK    FISICO ENERO 2021]]-Tabla1[[#This Row],[REQUISICIONES FEBRERO 2021]]</f>
        <v>38</v>
      </c>
      <c r="V151" s="33">
        <f>+Tabla1[[#This Row],[STOCK  FEBRERO 2021]]-Tabla1[[#This Row],[REQUISICIONES MARZO 2021]]+Tabla1[[#This Row],[ENTRADAS MARZO 2021]]</f>
        <v>35</v>
      </c>
      <c r="W151" s="33">
        <f>+Tabla1[[#This Row],[STOCK MARZO 2021]]-Tabla1[[#This Row],[REQUISICIONES ABRIL 2021]]+Tabla1[[#This Row],[ENTRADAS ABRIL 2021]]</f>
        <v>27</v>
      </c>
      <c r="X151" s="33">
        <f>+Tabla1[[#This Row],[STOCK ABRIL 2021]]-Tabla1[[#This Row],[REQUISICIONES MAYO 2021]]+Tabla1[[#This Row],[ENTRADAS MAYO 2021]]</f>
        <v>24</v>
      </c>
      <c r="Y151" s="33">
        <f>+Tabla1[[#This Row],[STOCK MAYO 2021]]-Tabla1[[#This Row],[REQUISICIONES JUNIO 2021]]+Tabla1[[#This Row],[ENTRADAS JUNIO 2021]]</f>
        <v>13</v>
      </c>
      <c r="Z151" s="30" t="s">
        <v>12</v>
      </c>
      <c r="AA151" s="34">
        <v>11.8</v>
      </c>
      <c r="AB151" s="35">
        <f t="shared" si="2"/>
        <v>13.924000000000001</v>
      </c>
      <c r="AC151" s="93">
        <f>Tabla1[[#This Row],[STOCK JUNIO ]]*Tabla1[[#This Row],[COSTO UNITARIO SIN ITBIS]]</f>
        <v>153.4</v>
      </c>
    </row>
    <row r="152" spans="1:29" s="9" customFormat="1" x14ac:dyDescent="0.25">
      <c r="A152" s="261">
        <v>143</v>
      </c>
      <c r="B152" s="117">
        <v>44285</v>
      </c>
      <c r="C152" s="28" t="s">
        <v>11</v>
      </c>
      <c r="D152" s="117">
        <v>44285</v>
      </c>
      <c r="E152" s="138" t="s">
        <v>739</v>
      </c>
      <c r="F152" s="118"/>
      <c r="G152" s="32" t="s">
        <v>750</v>
      </c>
      <c r="H152" s="120"/>
      <c r="I152" s="120"/>
      <c r="J152" s="120">
        <f>+'INVENTARIO ABRIL-JUNIO 2021'!$H152-'INVENTARIO ABRIL-JUNIO 2021'!$I152</f>
        <v>0</v>
      </c>
      <c r="K152" s="120"/>
      <c r="L152" s="120">
        <v>30</v>
      </c>
      <c r="M152" s="120"/>
      <c r="N152" s="120"/>
      <c r="O152" s="121"/>
      <c r="P152" s="120"/>
      <c r="Q152" s="120"/>
      <c r="R152" s="120"/>
      <c r="S152" s="120"/>
      <c r="T152" s="120"/>
      <c r="U152" s="121">
        <f>+Tabla1[[#This Row],[STOCK    FISICO ENERO 2021]]-Tabla1[[#This Row],[REQUISICIONES FEBRERO 2021]]</f>
        <v>0</v>
      </c>
      <c r="V152" s="121">
        <f>+Tabla1[[#This Row],[STOCK  FEBRERO 2021]]-Tabla1[[#This Row],[REQUISICIONES MARZO 2021]]+Tabla1[[#This Row],[ENTRADAS MARZO 2021]]</f>
        <v>30</v>
      </c>
      <c r="W152" s="121">
        <f>+Tabla1[[#This Row],[STOCK MARZO 2021]]-Tabla1[[#This Row],[REQUISICIONES ABRIL 2021]]+Tabla1[[#This Row],[ENTRADAS ABRIL 2021]]</f>
        <v>30</v>
      </c>
      <c r="X152" s="121">
        <f>+Tabla1[[#This Row],[STOCK ABRIL 2021]]-Tabla1[[#This Row],[REQUISICIONES MAYO 2021]]+Tabla1[[#This Row],[ENTRADAS MAYO 2021]]</f>
        <v>30</v>
      </c>
      <c r="Y152" s="121">
        <f>+Tabla1[[#This Row],[STOCK MAYO 2021]]-Tabla1[[#This Row],[REQUISICIONES JUNIO 2021]]+Tabla1[[#This Row],[ENTRADAS JUNIO 2021]]</f>
        <v>30</v>
      </c>
      <c r="Z152" s="30" t="s">
        <v>12</v>
      </c>
      <c r="AA152" s="122">
        <v>11.5</v>
      </c>
      <c r="AB152" s="93">
        <f t="shared" si="2"/>
        <v>13.57</v>
      </c>
      <c r="AC152" s="93">
        <f>Tabla1[[#This Row],[STOCK JUNIO ]]*Tabla1[[#This Row],[COSTO UNITARIO SIN ITBIS]]</f>
        <v>345</v>
      </c>
    </row>
    <row r="153" spans="1:29" s="11" customFormat="1" x14ac:dyDescent="0.25">
      <c r="A153" s="261">
        <v>144</v>
      </c>
      <c r="B153" s="31">
        <v>43654</v>
      </c>
      <c r="C153" s="28" t="s">
        <v>11</v>
      </c>
      <c r="D153" s="31">
        <v>44075</v>
      </c>
      <c r="E153" s="137"/>
      <c r="F153" s="28">
        <v>1379</v>
      </c>
      <c r="G153" s="32" t="s">
        <v>108</v>
      </c>
      <c r="H153" s="46">
        <v>85</v>
      </c>
      <c r="I153" s="46">
        <f>3+3+2</f>
        <v>8</v>
      </c>
      <c r="J153" s="46">
        <f>+'INVENTARIO ABRIL-JUNIO 2021'!$H153-'INVENTARIO ABRIL-JUNIO 2021'!$I153</f>
        <v>77</v>
      </c>
      <c r="K153" s="46"/>
      <c r="L153" s="46"/>
      <c r="M153" s="46"/>
      <c r="N153" s="46"/>
      <c r="O153" s="167"/>
      <c r="P153" s="46">
        <f>1+1+2+3+3+2</f>
        <v>12</v>
      </c>
      <c r="Q153" s="46">
        <f>2+3+1</f>
        <v>6</v>
      </c>
      <c r="R153" s="46">
        <f>4+1+2+2+3+1+2</f>
        <v>15</v>
      </c>
      <c r="S153" s="46">
        <f>2+2+2</f>
        <v>6</v>
      </c>
      <c r="T153" s="46">
        <f>3+1+1+1+1+2+3</f>
        <v>12</v>
      </c>
      <c r="U153" s="46">
        <f>+Tabla1[[#This Row],[STOCK    FISICO ENERO 2021]]-Tabla1[[#This Row],[REQUISICIONES FEBRERO 2021]]</f>
        <v>65</v>
      </c>
      <c r="V153" s="46">
        <f>+Tabla1[[#This Row],[STOCK  FEBRERO 2021]]-Tabla1[[#This Row],[REQUISICIONES MARZO 2021]]+Tabla1[[#This Row],[ENTRADAS MARZO 2021]]</f>
        <v>59</v>
      </c>
      <c r="W153" s="46">
        <f>+Tabla1[[#This Row],[STOCK MARZO 2021]]-Tabla1[[#This Row],[REQUISICIONES ABRIL 2021]]+Tabla1[[#This Row],[ENTRADAS ABRIL 2021]]</f>
        <v>44</v>
      </c>
      <c r="X153" s="46">
        <f>+Tabla1[[#This Row],[STOCK ABRIL 2021]]-Tabla1[[#This Row],[REQUISICIONES MAYO 2021]]+Tabla1[[#This Row],[ENTRADAS MAYO 2021]]</f>
        <v>38</v>
      </c>
      <c r="Y153" s="46">
        <f>+Tabla1[[#This Row],[STOCK MAYO 2021]]-Tabla1[[#This Row],[REQUISICIONES JUNIO 2021]]+Tabla1[[#This Row],[ENTRADAS JUNIO 2021]]</f>
        <v>26</v>
      </c>
      <c r="Z153" s="30" t="s">
        <v>12</v>
      </c>
      <c r="AA153" s="34">
        <v>21.24</v>
      </c>
      <c r="AB153" s="35">
        <f t="shared" ref="AB153:AB160" si="3">AA153*0.18+AA153</f>
        <v>25.063199999999998</v>
      </c>
      <c r="AC153" s="93">
        <f>Tabla1[[#This Row],[STOCK JUNIO ]]*Tabla1[[#This Row],[COSTO UNITARIO SIN ITBIS]]</f>
        <v>552.24</v>
      </c>
    </row>
    <row r="154" spans="1:29" s="11" customFormat="1" x14ac:dyDescent="0.25">
      <c r="A154" s="261">
        <v>145</v>
      </c>
      <c r="B154" s="117">
        <v>44285</v>
      </c>
      <c r="C154" s="28" t="s">
        <v>11</v>
      </c>
      <c r="D154" s="117">
        <v>44285</v>
      </c>
      <c r="E154" s="138" t="s">
        <v>755</v>
      </c>
      <c r="F154" s="118"/>
      <c r="G154" s="32" t="s">
        <v>108</v>
      </c>
      <c r="H154" s="126"/>
      <c r="I154" s="126"/>
      <c r="J154" s="120">
        <f>+'INVENTARIO ABRIL-JUNIO 2021'!$H154-'INVENTARIO ABRIL-JUNIO 2021'!$I154</f>
        <v>0</v>
      </c>
      <c r="K154" s="126"/>
      <c r="L154" s="126">
        <v>15</v>
      </c>
      <c r="M154" s="126"/>
      <c r="N154" s="126"/>
      <c r="O154" s="121"/>
      <c r="P154" s="126"/>
      <c r="Q154" s="126"/>
      <c r="R154" s="126"/>
      <c r="S154" s="126"/>
      <c r="T154" s="126"/>
      <c r="U154" s="121">
        <f>+Tabla1[[#This Row],[STOCK    FISICO ENERO 2021]]-Tabla1[[#This Row],[REQUISICIONES FEBRERO 2021]]</f>
        <v>0</v>
      </c>
      <c r="V154" s="121">
        <f>+Tabla1[[#This Row],[STOCK  FEBRERO 2021]]-Tabla1[[#This Row],[REQUISICIONES MARZO 2021]]+Tabla1[[#This Row],[ENTRADAS MARZO 2021]]</f>
        <v>15</v>
      </c>
      <c r="W154" s="121">
        <f>+Tabla1[[#This Row],[STOCK MARZO 2021]]-Tabla1[[#This Row],[REQUISICIONES ABRIL 2021]]+Tabla1[[#This Row],[ENTRADAS ABRIL 2021]]</f>
        <v>15</v>
      </c>
      <c r="X154" s="121">
        <f>+Tabla1[[#This Row],[STOCK ABRIL 2021]]-Tabla1[[#This Row],[REQUISICIONES MAYO 2021]]+Tabla1[[#This Row],[ENTRADAS MAYO 2021]]</f>
        <v>15</v>
      </c>
      <c r="Y154" s="121">
        <f>+Tabla1[[#This Row],[STOCK MAYO 2021]]-Tabla1[[#This Row],[REQUISICIONES JUNIO 2021]]+Tabla1[[#This Row],[ENTRADAS JUNIO 2021]]</f>
        <v>15</v>
      </c>
      <c r="Z154" s="30" t="s">
        <v>12</v>
      </c>
      <c r="AA154" s="122">
        <v>4.55</v>
      </c>
      <c r="AB154" s="93">
        <f t="shared" si="3"/>
        <v>5.3689999999999998</v>
      </c>
      <c r="AC154" s="93">
        <f>Tabla1[[#This Row],[STOCK JUNIO ]]*Tabla1[[#This Row],[COSTO UNITARIO SIN ITBIS]]</f>
        <v>68.25</v>
      </c>
    </row>
    <row r="155" spans="1:29" s="11" customFormat="1" x14ac:dyDescent="0.25">
      <c r="A155" s="261">
        <v>146</v>
      </c>
      <c r="B155" s="31">
        <v>44037</v>
      </c>
      <c r="C155" s="28" t="s">
        <v>11</v>
      </c>
      <c r="D155" s="31">
        <v>44055</v>
      </c>
      <c r="E155" s="137"/>
      <c r="F155" s="28">
        <v>1370</v>
      </c>
      <c r="G155" s="32" t="s">
        <v>109</v>
      </c>
      <c r="H155" s="46">
        <v>45</v>
      </c>
      <c r="I155" s="46">
        <v>4</v>
      </c>
      <c r="J155" s="46">
        <f>+'INVENTARIO ABRIL-JUNIO 2021'!$H155-'INVENTARIO ABRIL-JUNIO 2021'!$I155</f>
        <v>41</v>
      </c>
      <c r="K155" s="46"/>
      <c r="L155" s="46"/>
      <c r="M155" s="46"/>
      <c r="N155" s="46"/>
      <c r="O155" s="167"/>
      <c r="P155" s="46">
        <f>2+3+3</f>
        <v>8</v>
      </c>
      <c r="Q155" s="46">
        <f>3+2+24+4</f>
        <v>33</v>
      </c>
      <c r="R155" s="46"/>
      <c r="S155" s="46"/>
      <c r="T155" s="46"/>
      <c r="U155" s="46">
        <f>+Tabla1[[#This Row],[STOCK    FISICO ENERO 2021]]-Tabla1[[#This Row],[REQUISICIONES FEBRERO 2021]]</f>
        <v>33</v>
      </c>
      <c r="V155" s="46">
        <f>+Tabla1[[#This Row],[STOCK  FEBRERO 2021]]-Tabla1[[#This Row],[REQUISICIONES MARZO 2021]]+Tabla1[[#This Row],[ENTRADAS MARZO 2021]]</f>
        <v>0</v>
      </c>
      <c r="W155" s="46">
        <f>+Tabla1[[#This Row],[STOCK MARZO 2021]]-Tabla1[[#This Row],[REQUISICIONES ABRIL 2021]]+Tabla1[[#This Row],[ENTRADAS ABRIL 2021]]</f>
        <v>0</v>
      </c>
      <c r="X155" s="46">
        <f>+Tabla1[[#This Row],[STOCK ABRIL 2021]]-Tabla1[[#This Row],[REQUISICIONES MAYO 2021]]+Tabla1[[#This Row],[ENTRADAS MAYO 2021]]</f>
        <v>0</v>
      </c>
      <c r="Y155" s="46">
        <f>+Tabla1[[#This Row],[STOCK MAYO 2021]]-Tabla1[[#This Row],[REQUISICIONES JUNIO 2021]]+Tabla1[[#This Row],[ENTRADAS JUNIO 2021]]</f>
        <v>0</v>
      </c>
      <c r="Z155" s="30" t="s">
        <v>12</v>
      </c>
      <c r="AA155" s="34">
        <v>3.72</v>
      </c>
      <c r="AB155" s="35">
        <f t="shared" si="3"/>
        <v>4.3895999999999997</v>
      </c>
      <c r="AC155" s="93">
        <f>Tabla1[[#This Row],[STOCK JUNIO ]]*Tabla1[[#This Row],[COSTO UNITARIO SIN ITBIS]]</f>
        <v>0</v>
      </c>
    </row>
    <row r="156" spans="1:29" s="8" customFormat="1" x14ac:dyDescent="0.25">
      <c r="A156" s="261">
        <v>147</v>
      </c>
      <c r="B156" s="117">
        <v>44285</v>
      </c>
      <c r="C156" s="28" t="s">
        <v>11</v>
      </c>
      <c r="D156" s="117">
        <v>44285</v>
      </c>
      <c r="E156" s="138" t="s">
        <v>739</v>
      </c>
      <c r="F156" s="118"/>
      <c r="G156" s="32" t="s">
        <v>788</v>
      </c>
      <c r="H156" s="126"/>
      <c r="I156" s="126"/>
      <c r="J156" s="120">
        <f>+'INVENTARIO ABRIL-JUNIO 2021'!$H156-'INVENTARIO ABRIL-JUNIO 2021'!$I156</f>
        <v>0</v>
      </c>
      <c r="K156" s="126"/>
      <c r="L156" s="126">
        <v>120</v>
      </c>
      <c r="M156" s="126"/>
      <c r="N156" s="126"/>
      <c r="O156" s="121"/>
      <c r="P156" s="126"/>
      <c r="Q156" s="126">
        <v>2</v>
      </c>
      <c r="R156" s="126">
        <f>5+4+15+15+5+1+6+5+1</f>
        <v>57</v>
      </c>
      <c r="S156" s="126">
        <f>2+3+2</f>
        <v>7</v>
      </c>
      <c r="T156" s="126">
        <v>2</v>
      </c>
      <c r="U156" s="121">
        <f>+Tabla1[[#This Row],[STOCK    FISICO ENERO 2021]]-Tabla1[[#This Row],[REQUISICIONES FEBRERO 2021]]</f>
        <v>0</v>
      </c>
      <c r="V156" s="121">
        <f>+Tabla1[[#This Row],[STOCK  FEBRERO 2021]]-Tabla1[[#This Row],[REQUISICIONES MARZO 2021]]+Tabla1[[#This Row],[ENTRADAS MARZO 2021]]</f>
        <v>118</v>
      </c>
      <c r="W156" s="121">
        <f>+Tabla1[[#This Row],[STOCK MARZO 2021]]-Tabla1[[#This Row],[REQUISICIONES ABRIL 2021]]+Tabla1[[#This Row],[ENTRADAS ABRIL 2021]]</f>
        <v>61</v>
      </c>
      <c r="X156" s="121">
        <f>+Tabla1[[#This Row],[STOCK ABRIL 2021]]-Tabla1[[#This Row],[REQUISICIONES MAYO 2021]]+Tabla1[[#This Row],[ENTRADAS MAYO 2021]]</f>
        <v>54</v>
      </c>
      <c r="Y156" s="121">
        <f>+Tabla1[[#This Row],[STOCK MAYO 2021]]-Tabla1[[#This Row],[REQUISICIONES JUNIO 2021]]+Tabla1[[#This Row],[ENTRADAS JUNIO 2021]]</f>
        <v>52</v>
      </c>
      <c r="Z156" s="30" t="s">
        <v>12</v>
      </c>
      <c r="AA156" s="122">
        <v>3.4</v>
      </c>
      <c r="AB156" s="93">
        <f t="shared" si="3"/>
        <v>4.0119999999999996</v>
      </c>
      <c r="AC156" s="93">
        <f>Tabla1[[#This Row],[STOCK JUNIO ]]*Tabla1[[#This Row],[COSTO UNITARIO SIN ITBIS]]</f>
        <v>176.79999999999998</v>
      </c>
    </row>
    <row r="157" spans="1:29" s="11" customFormat="1" x14ac:dyDescent="0.25">
      <c r="A157" s="261">
        <v>148</v>
      </c>
      <c r="B157" s="31">
        <v>43440</v>
      </c>
      <c r="C157" s="28" t="s">
        <v>11</v>
      </c>
      <c r="D157" s="31">
        <v>44075</v>
      </c>
      <c r="E157" s="137"/>
      <c r="F157" s="28">
        <v>1417</v>
      </c>
      <c r="G157" s="32" t="s">
        <v>110</v>
      </c>
      <c r="H157" s="33">
        <v>2</v>
      </c>
      <c r="I157" s="33">
        <v>1</v>
      </c>
      <c r="J157" s="33">
        <f>+'INVENTARIO ABRIL-JUNIO 2021'!$H157-'INVENTARIO ABRIL-JUNIO 2021'!$I157</f>
        <v>1</v>
      </c>
      <c r="K157" s="33"/>
      <c r="L157" s="33"/>
      <c r="M157" s="33"/>
      <c r="N157" s="33"/>
      <c r="O157" s="167"/>
      <c r="P157" s="33"/>
      <c r="Q157" s="33">
        <v>1</v>
      </c>
      <c r="R157" s="33"/>
      <c r="S157" s="33"/>
      <c r="T157" s="33"/>
      <c r="U157" s="33">
        <f>+Tabla1[[#This Row],[STOCK    FISICO ENERO 2021]]-Tabla1[[#This Row],[REQUISICIONES FEBRERO 2021]]</f>
        <v>1</v>
      </c>
      <c r="V157" s="33">
        <f>+Tabla1[[#This Row],[STOCK  FEBRERO 2021]]-Tabla1[[#This Row],[REQUISICIONES MARZO 2021]]+Tabla1[[#This Row],[ENTRADAS MARZO 2021]]</f>
        <v>0</v>
      </c>
      <c r="W157" s="33">
        <f>+Tabla1[[#This Row],[STOCK MARZO 2021]]-Tabla1[[#This Row],[REQUISICIONES ABRIL 2021]]+Tabla1[[#This Row],[ENTRADAS ABRIL 2021]]</f>
        <v>0</v>
      </c>
      <c r="X157" s="33">
        <f>+Tabla1[[#This Row],[STOCK ABRIL 2021]]-Tabla1[[#This Row],[REQUISICIONES MAYO 2021]]+Tabla1[[#This Row],[ENTRADAS MAYO 2021]]</f>
        <v>0</v>
      </c>
      <c r="Y157" s="33">
        <f>+Tabla1[[#This Row],[STOCK MAYO 2021]]-Tabla1[[#This Row],[REQUISICIONES JUNIO 2021]]+Tabla1[[#This Row],[ENTRADAS JUNIO 2021]]</f>
        <v>0</v>
      </c>
      <c r="Z157" s="30" t="s">
        <v>12</v>
      </c>
      <c r="AA157" s="34">
        <v>748.12</v>
      </c>
      <c r="AB157" s="35">
        <f t="shared" si="3"/>
        <v>882.78160000000003</v>
      </c>
      <c r="AC157" s="93">
        <f>Tabla1[[#This Row],[STOCK JUNIO ]]*Tabla1[[#This Row],[COSTO UNITARIO SIN ITBIS]]</f>
        <v>0</v>
      </c>
    </row>
    <row r="158" spans="1:29" s="8" customFormat="1" x14ac:dyDescent="0.25">
      <c r="A158" s="261">
        <v>149</v>
      </c>
      <c r="B158" s="42">
        <v>43671</v>
      </c>
      <c r="C158" s="41" t="s">
        <v>11</v>
      </c>
      <c r="D158" s="42">
        <v>43671</v>
      </c>
      <c r="E158" s="139"/>
      <c r="F158" s="43">
        <v>1175</v>
      </c>
      <c r="G158" s="40" t="s">
        <v>111</v>
      </c>
      <c r="H158" s="40">
        <f>49+20</f>
        <v>69</v>
      </c>
      <c r="I158" s="40"/>
      <c r="J158" s="40">
        <f>+'INVENTARIO ABRIL-JUNIO 2021'!$H158-'INVENTARIO ABRIL-JUNIO 2021'!$I158</f>
        <v>69</v>
      </c>
      <c r="K158" s="40"/>
      <c r="L158" s="40"/>
      <c r="M158" s="40"/>
      <c r="N158" s="40"/>
      <c r="O158" s="168"/>
      <c r="P158" s="40">
        <f>1+2</f>
        <v>3</v>
      </c>
      <c r="Q158" s="40">
        <f>2+2+2</f>
        <v>6</v>
      </c>
      <c r="R158" s="40"/>
      <c r="S158" s="40">
        <f>1+2+1</f>
        <v>4</v>
      </c>
      <c r="T158" s="40">
        <f>2+1+1+3</f>
        <v>7</v>
      </c>
      <c r="U158" s="40">
        <f>+Tabla1[[#This Row],[STOCK    FISICO ENERO 2021]]-Tabla1[[#This Row],[REQUISICIONES FEBRERO 2021]]</f>
        <v>66</v>
      </c>
      <c r="V158" s="40">
        <f>+Tabla1[[#This Row],[STOCK  FEBRERO 2021]]-Tabla1[[#This Row],[REQUISICIONES MARZO 2021]]+Tabla1[[#This Row],[ENTRADAS MARZO 2021]]</f>
        <v>60</v>
      </c>
      <c r="W158" s="40">
        <f>+Tabla1[[#This Row],[STOCK MARZO 2021]]-Tabla1[[#This Row],[REQUISICIONES ABRIL 2021]]+Tabla1[[#This Row],[ENTRADAS ABRIL 2021]]</f>
        <v>60</v>
      </c>
      <c r="X158" s="40">
        <f>+Tabla1[[#This Row],[STOCK ABRIL 2021]]-Tabla1[[#This Row],[REQUISICIONES MAYO 2021]]+Tabla1[[#This Row],[ENTRADAS MAYO 2021]]</f>
        <v>56</v>
      </c>
      <c r="Y158" s="40">
        <f>+Tabla1[[#This Row],[STOCK MAYO 2021]]-Tabla1[[#This Row],[REQUISICIONES JUNIO 2021]]+Tabla1[[#This Row],[ENTRADAS JUNIO 2021]]</f>
        <v>49</v>
      </c>
      <c r="Z158" s="30" t="s">
        <v>12</v>
      </c>
      <c r="AA158" s="45">
        <f>109.74/100</f>
        <v>1.0973999999999999</v>
      </c>
      <c r="AB158" s="35">
        <f t="shared" si="3"/>
        <v>1.294932</v>
      </c>
      <c r="AC158" s="93">
        <f>Tabla1[[#This Row],[STOCK JUNIO ]]*Tabla1[[#This Row],[COSTO UNITARIO SIN ITBIS]]</f>
        <v>53.772599999999997</v>
      </c>
    </row>
    <row r="159" spans="1:29" s="8" customFormat="1" x14ac:dyDescent="0.25">
      <c r="A159" s="261">
        <v>150</v>
      </c>
      <c r="B159" s="31">
        <v>44109</v>
      </c>
      <c r="C159" s="41" t="s">
        <v>11</v>
      </c>
      <c r="D159" s="31">
        <v>44109</v>
      </c>
      <c r="E159" s="137"/>
      <c r="F159" s="44" t="s">
        <v>20</v>
      </c>
      <c r="G159" s="32" t="s">
        <v>112</v>
      </c>
      <c r="H159" s="46">
        <v>7851</v>
      </c>
      <c r="I159" s="46">
        <v>20</v>
      </c>
      <c r="J159" s="46">
        <f>+'INVENTARIO ABRIL-JUNIO 2021'!$H159-'INVENTARIO ABRIL-JUNIO 2021'!$I159</f>
        <v>7831</v>
      </c>
      <c r="K159" s="46"/>
      <c r="L159" s="46"/>
      <c r="M159" s="46"/>
      <c r="N159" s="46"/>
      <c r="O159" s="167"/>
      <c r="P159" s="46">
        <f>2+25+20+30+10+50+10+25</f>
        <v>172</v>
      </c>
      <c r="Q159" s="46">
        <f>100+30+100+20</f>
        <v>250</v>
      </c>
      <c r="R159" s="46">
        <f>20+40+38+100+50</f>
        <v>248</v>
      </c>
      <c r="S159" s="46">
        <f>15+15+15+50+50+5</f>
        <v>150</v>
      </c>
      <c r="T159" s="46">
        <v>100</v>
      </c>
      <c r="U159" s="46">
        <f>+Tabla1[[#This Row],[STOCK    FISICO ENERO 2021]]-Tabla1[[#This Row],[REQUISICIONES FEBRERO 2021]]</f>
        <v>7659</v>
      </c>
      <c r="V159" s="46">
        <f>+Tabla1[[#This Row],[STOCK  FEBRERO 2021]]-Tabla1[[#This Row],[REQUISICIONES MARZO 2021]]+Tabla1[[#This Row],[ENTRADAS MARZO 2021]]</f>
        <v>7409</v>
      </c>
      <c r="W159" s="46">
        <f>+Tabla1[[#This Row],[STOCK MARZO 2021]]-Tabla1[[#This Row],[REQUISICIONES ABRIL 2021]]+Tabla1[[#This Row],[ENTRADAS ABRIL 2021]]</f>
        <v>7161</v>
      </c>
      <c r="X159" s="46">
        <f>+Tabla1[[#This Row],[STOCK ABRIL 2021]]-Tabla1[[#This Row],[REQUISICIONES MAYO 2021]]+Tabla1[[#This Row],[ENTRADAS MAYO 2021]]</f>
        <v>7011</v>
      </c>
      <c r="Y159" s="46">
        <f>+Tabla1[[#This Row],[STOCK MAYO 2021]]-Tabla1[[#This Row],[REQUISICIONES JUNIO 2021]]+Tabla1[[#This Row],[ENTRADAS JUNIO 2021]]</f>
        <v>6911</v>
      </c>
      <c r="Z159" s="40" t="s">
        <v>12</v>
      </c>
      <c r="AA159" s="45">
        <v>2.83</v>
      </c>
      <c r="AB159" s="35">
        <f t="shared" si="3"/>
        <v>3.3393999999999999</v>
      </c>
      <c r="AC159" s="93">
        <f>Tabla1[[#This Row],[STOCK JUNIO ]]*Tabla1[[#This Row],[COSTO UNITARIO SIN ITBIS]]</f>
        <v>19558.13</v>
      </c>
    </row>
    <row r="160" spans="1:29" s="8" customFormat="1" x14ac:dyDescent="0.25">
      <c r="A160" s="261">
        <v>151</v>
      </c>
      <c r="B160" s="31">
        <v>43724</v>
      </c>
      <c r="C160" s="28" t="s">
        <v>11</v>
      </c>
      <c r="D160" s="31">
        <v>43724</v>
      </c>
      <c r="E160" s="137"/>
      <c r="F160" s="28">
        <v>1489</v>
      </c>
      <c r="G160" s="32" t="s">
        <v>113</v>
      </c>
      <c r="H160" s="46">
        <v>1920</v>
      </c>
      <c r="I160" s="46"/>
      <c r="J160" s="46">
        <f>+'INVENTARIO ABRIL-JUNIO 2021'!$H160-'INVENTARIO ABRIL-JUNIO 2021'!$I160</f>
        <v>1920</v>
      </c>
      <c r="K160" s="46"/>
      <c r="L160" s="46"/>
      <c r="M160" s="46"/>
      <c r="N160" s="46"/>
      <c r="O160" s="167"/>
      <c r="P160" s="46"/>
      <c r="Q160" s="46"/>
      <c r="R160" s="46"/>
      <c r="S160" s="46"/>
      <c r="T160" s="46"/>
      <c r="U160" s="46">
        <f>+Tabla1[[#This Row],[STOCK    FISICO ENERO 2021]]-Tabla1[[#This Row],[REQUISICIONES FEBRERO 2021]]</f>
        <v>1920</v>
      </c>
      <c r="V160" s="46">
        <f>+Tabla1[[#This Row],[STOCK  FEBRERO 2021]]-Tabla1[[#This Row],[REQUISICIONES MARZO 2021]]+Tabla1[[#This Row],[ENTRADAS MARZO 2021]]</f>
        <v>1920</v>
      </c>
      <c r="W160" s="46">
        <f>+Tabla1[[#This Row],[STOCK MARZO 2021]]-Tabla1[[#This Row],[REQUISICIONES ABRIL 2021]]+Tabla1[[#This Row],[ENTRADAS ABRIL 2021]]</f>
        <v>1920</v>
      </c>
      <c r="X160" s="46">
        <f>+Tabla1[[#This Row],[STOCK ABRIL 2021]]-Tabla1[[#This Row],[REQUISICIONES MAYO 2021]]+Tabla1[[#This Row],[ENTRADAS MAYO 2021]]</f>
        <v>1920</v>
      </c>
      <c r="Y160" s="46">
        <f>+Tabla1[[#This Row],[STOCK MAYO 2021]]-Tabla1[[#This Row],[REQUISICIONES JUNIO 2021]]+Tabla1[[#This Row],[ENTRADAS JUNIO 2021]]</f>
        <v>1920</v>
      </c>
      <c r="Z160" s="40" t="s">
        <v>12</v>
      </c>
      <c r="AA160" s="34">
        <v>3.21</v>
      </c>
      <c r="AB160" s="35">
        <f t="shared" si="3"/>
        <v>3.7877999999999998</v>
      </c>
      <c r="AC160" s="93">
        <f>Tabla1[[#This Row],[STOCK JUNIO ]]*Tabla1[[#This Row],[COSTO UNITARIO SIN ITBIS]]</f>
        <v>6163.2</v>
      </c>
    </row>
    <row r="161" spans="1:29" s="8" customFormat="1" x14ac:dyDescent="0.25">
      <c r="A161" s="261">
        <v>152</v>
      </c>
      <c r="B161" s="42">
        <v>44109</v>
      </c>
      <c r="C161" s="28" t="s">
        <v>11</v>
      </c>
      <c r="D161" s="42">
        <v>44109</v>
      </c>
      <c r="E161" s="139"/>
      <c r="F161" s="44"/>
      <c r="G161" s="32" t="s">
        <v>824</v>
      </c>
      <c r="H161" s="40">
        <v>340</v>
      </c>
      <c r="I161" s="40">
        <v>25</v>
      </c>
      <c r="J161" s="40">
        <f>+'INVENTARIO ABRIL-JUNIO 2021'!$H161-'INVENTARIO ABRIL-JUNIO 2021'!$I161</f>
        <v>315</v>
      </c>
      <c r="K161" s="40"/>
      <c r="L161" s="40"/>
      <c r="M161" s="40"/>
      <c r="N161" s="40"/>
      <c r="O161" s="168"/>
      <c r="P161" s="40"/>
      <c r="Q161" s="40">
        <v>10</v>
      </c>
      <c r="R161" s="40">
        <v>25</v>
      </c>
      <c r="S161" s="40"/>
      <c r="T161" s="40">
        <v>20</v>
      </c>
      <c r="U161" s="40">
        <f>+Tabla1[[#This Row],[STOCK    FISICO ENERO 2021]]-Tabla1[[#This Row],[REQUISICIONES FEBRERO 2021]]</f>
        <v>315</v>
      </c>
      <c r="V161" s="40">
        <f>+Tabla1[[#This Row],[STOCK  FEBRERO 2021]]-Tabla1[[#This Row],[REQUISICIONES MARZO 2021]]+Tabla1[[#This Row],[ENTRADAS MARZO 2021]]</f>
        <v>305</v>
      </c>
      <c r="W161" s="40">
        <f>+Tabla1[[#This Row],[STOCK MARZO 2021]]-Tabla1[[#This Row],[REQUISICIONES ABRIL 2021]]+Tabla1[[#This Row],[ENTRADAS ABRIL 2021]]</f>
        <v>280</v>
      </c>
      <c r="X161" s="40">
        <f>+Tabla1[[#This Row],[STOCK ABRIL 2021]]-Tabla1[[#This Row],[REQUISICIONES MAYO 2021]]+Tabla1[[#This Row],[ENTRADAS MAYO 2021]]</f>
        <v>280</v>
      </c>
      <c r="Y161" s="40">
        <f>+Tabla1[[#This Row],[STOCK MAYO 2021]]-Tabla1[[#This Row],[REQUISICIONES JUNIO 2021]]+Tabla1[[#This Row],[ENTRADAS JUNIO 2021]]</f>
        <v>260</v>
      </c>
      <c r="Z161" s="40" t="s">
        <v>12</v>
      </c>
      <c r="AA161" s="45">
        <v>0</v>
      </c>
      <c r="AB161" s="35">
        <f>AA161*0.18+AA161</f>
        <v>0</v>
      </c>
      <c r="AC161" s="93">
        <f>Tabla1[[#This Row],[STOCK JUNIO ]]*Tabla1[[#This Row],[COSTO UNITARIO SIN ITBIS]]</f>
        <v>0</v>
      </c>
    </row>
    <row r="162" spans="1:29" s="8" customFormat="1" x14ac:dyDescent="0.25">
      <c r="A162" s="261">
        <v>153</v>
      </c>
      <c r="B162" s="31">
        <v>44316</v>
      </c>
      <c r="C162" s="28" t="s">
        <v>11</v>
      </c>
      <c r="D162" s="31">
        <v>44315</v>
      </c>
      <c r="E162" s="158" t="s">
        <v>784</v>
      </c>
      <c r="F162" s="194"/>
      <c r="G162" s="32" t="s">
        <v>829</v>
      </c>
      <c r="H162" s="63"/>
      <c r="I162" s="63"/>
      <c r="J162" s="120">
        <f>+'INVENTARIO ABRIL-JUNIO 2021'!$H162-'INVENTARIO ABRIL-JUNIO 2021'!$I162</f>
        <v>0</v>
      </c>
      <c r="K162" s="63"/>
      <c r="L162" s="63"/>
      <c r="M162" s="46">
        <f>2*500</f>
        <v>1000</v>
      </c>
      <c r="N162" s="46"/>
      <c r="O162" s="167"/>
      <c r="P162" s="63"/>
      <c r="Q162" s="63"/>
      <c r="R162" s="63"/>
      <c r="S162" s="63"/>
      <c r="T162" s="63"/>
      <c r="U162" s="125">
        <f>+Tabla1[[#This Row],[STOCK    FISICO ENERO 2021]]-Tabla1[[#This Row],[REQUISICIONES FEBRERO 2021]]</f>
        <v>0</v>
      </c>
      <c r="V162" s="125">
        <f>+Tabla1[[#This Row],[STOCK  FEBRERO 2021]]-Tabla1[[#This Row],[REQUISICIONES MARZO 2021]]+Tabla1[[#This Row],[ENTRADAS MARZO 2021]]</f>
        <v>0</v>
      </c>
      <c r="W162" s="168">
        <f>+Tabla1[[#This Row],[STOCK MARZO 2021]]-Tabla1[[#This Row],[REQUISICIONES ABRIL 2021]]+Tabla1[[#This Row],[ENTRADAS ABRIL 2021]]</f>
        <v>1000</v>
      </c>
      <c r="X162" s="168">
        <f>+Tabla1[[#This Row],[STOCK ABRIL 2021]]-Tabla1[[#This Row],[REQUISICIONES MAYO 2021]]+Tabla1[[#This Row],[ENTRADAS MAYO 2021]]</f>
        <v>1000</v>
      </c>
      <c r="Y162" s="168">
        <f>+Tabla1[[#This Row],[STOCK MAYO 2021]]-Tabla1[[#This Row],[REQUISICIONES JUNIO 2021]]+Tabla1[[#This Row],[ENTRADAS JUNIO 2021]]</f>
        <v>1000</v>
      </c>
      <c r="Z162" s="40" t="s">
        <v>12</v>
      </c>
      <c r="AA162" s="34">
        <v>3.762</v>
      </c>
      <c r="AB162" s="35">
        <f>AA162*0.18+AA162</f>
        <v>4.4391600000000002</v>
      </c>
      <c r="AC162" s="93">
        <f>Tabla1[[#This Row],[STOCK JUNIO ]]*Tabla1[[#This Row],[COSTO UNITARIO SIN ITBIS]]</f>
        <v>3762</v>
      </c>
    </row>
    <row r="163" spans="1:29" s="8" customFormat="1" x14ac:dyDescent="0.25">
      <c r="A163" s="261">
        <v>154</v>
      </c>
      <c r="B163" s="42">
        <v>44109</v>
      </c>
      <c r="C163" s="28" t="s">
        <v>11</v>
      </c>
      <c r="D163" s="42">
        <v>44109</v>
      </c>
      <c r="E163" s="139"/>
      <c r="F163" s="44" t="s">
        <v>20</v>
      </c>
      <c r="G163" s="32" t="s">
        <v>114</v>
      </c>
      <c r="H163" s="40">
        <v>853</v>
      </c>
      <c r="I163" s="40"/>
      <c r="J163" s="40">
        <f>+'INVENTARIO ABRIL-JUNIO 2021'!$H163-'INVENTARIO ABRIL-JUNIO 2021'!$I163</f>
        <v>853</v>
      </c>
      <c r="K163" s="40"/>
      <c r="L163" s="40"/>
      <c r="M163" s="40"/>
      <c r="N163" s="40"/>
      <c r="O163" s="168"/>
      <c r="P163" s="40"/>
      <c r="Q163" s="40">
        <v>25</v>
      </c>
      <c r="R163" s="40"/>
      <c r="S163" s="40">
        <v>10</v>
      </c>
      <c r="T163" s="40"/>
      <c r="U163" s="40">
        <f>+Tabla1[[#This Row],[STOCK    FISICO ENERO 2021]]-Tabla1[[#This Row],[REQUISICIONES FEBRERO 2021]]</f>
        <v>853</v>
      </c>
      <c r="V163" s="40">
        <f>+Tabla1[[#This Row],[STOCK  FEBRERO 2021]]-Tabla1[[#This Row],[REQUISICIONES MARZO 2021]]+Tabla1[[#This Row],[ENTRADAS MARZO 2021]]</f>
        <v>828</v>
      </c>
      <c r="W163" s="40">
        <f>+Tabla1[[#This Row],[STOCK MARZO 2021]]-Tabla1[[#This Row],[REQUISICIONES ABRIL 2021]]+Tabla1[[#This Row],[ENTRADAS ABRIL 2021]]</f>
        <v>828</v>
      </c>
      <c r="X163" s="40">
        <f>+Tabla1[[#This Row],[STOCK ABRIL 2021]]-Tabla1[[#This Row],[REQUISICIONES MAYO 2021]]+Tabla1[[#This Row],[ENTRADAS MAYO 2021]]</f>
        <v>818</v>
      </c>
      <c r="Y163" s="40">
        <f>+Tabla1[[#This Row],[STOCK MAYO 2021]]-Tabla1[[#This Row],[REQUISICIONES JUNIO 2021]]+Tabla1[[#This Row],[ENTRADAS JUNIO 2021]]</f>
        <v>818</v>
      </c>
      <c r="Z163" s="40" t="s">
        <v>105</v>
      </c>
      <c r="AA163" s="45">
        <v>1.8</v>
      </c>
      <c r="AB163" s="35">
        <f t="shared" ref="AB163:AB192" si="4">AA163*0.18+AA163</f>
        <v>2.1240000000000001</v>
      </c>
      <c r="AC163" s="93">
        <f>Tabla1[[#This Row],[STOCK JUNIO ]]*Tabla1[[#This Row],[COSTO UNITARIO SIN ITBIS]]</f>
        <v>1472.4</v>
      </c>
    </row>
    <row r="164" spans="1:29" s="8" customFormat="1" x14ac:dyDescent="0.25">
      <c r="A164" s="261">
        <v>155</v>
      </c>
      <c r="B164" s="42">
        <v>43440</v>
      </c>
      <c r="C164" s="41" t="s">
        <v>11</v>
      </c>
      <c r="D164" s="42">
        <v>43440</v>
      </c>
      <c r="E164" s="139"/>
      <c r="F164" s="43">
        <v>1171</v>
      </c>
      <c r="G164" s="40" t="s">
        <v>115</v>
      </c>
      <c r="H164" s="49">
        <v>6342</v>
      </c>
      <c r="I164" s="49">
        <v>20</v>
      </c>
      <c r="J164" s="49">
        <f>+'INVENTARIO ABRIL-JUNIO 2021'!$H164-'INVENTARIO ABRIL-JUNIO 2021'!$I164</f>
        <v>6322</v>
      </c>
      <c r="K164" s="49"/>
      <c r="L164" s="49"/>
      <c r="M164" s="49"/>
      <c r="N164" s="49"/>
      <c r="O164" s="168"/>
      <c r="P164" s="49">
        <f>25+20+30+100+100+50+10+15+50+50+50+10+150</f>
        <v>660</v>
      </c>
      <c r="Q164" s="49">
        <f>50+20+15+100+100+20+10+100</f>
        <v>415</v>
      </c>
      <c r="R164" s="49">
        <f>100+20+500+20+200+43+100+500+15+100+100</f>
        <v>1698</v>
      </c>
      <c r="S164" s="49">
        <f>1000+20+15+15+15+50+10+30</f>
        <v>1155</v>
      </c>
      <c r="T164" s="49">
        <f>100+100+100+20+6+100</f>
        <v>426</v>
      </c>
      <c r="U164" s="49">
        <f>+Tabla1[[#This Row],[STOCK    FISICO ENERO 2021]]-Tabla1[[#This Row],[REQUISICIONES FEBRERO 2021]]</f>
        <v>5662</v>
      </c>
      <c r="V164" s="49">
        <f>+Tabla1[[#This Row],[STOCK  FEBRERO 2021]]-Tabla1[[#This Row],[REQUISICIONES MARZO 2021]]+Tabla1[[#This Row],[ENTRADAS MARZO 2021]]</f>
        <v>5247</v>
      </c>
      <c r="W164" s="49">
        <f>+Tabla1[[#This Row],[STOCK MARZO 2021]]-Tabla1[[#This Row],[REQUISICIONES ABRIL 2021]]+Tabla1[[#This Row],[ENTRADAS ABRIL 2021]]</f>
        <v>3549</v>
      </c>
      <c r="X164" s="49">
        <f>+Tabla1[[#This Row],[STOCK ABRIL 2021]]-Tabla1[[#This Row],[REQUISICIONES MAYO 2021]]+Tabla1[[#This Row],[ENTRADAS MAYO 2021]]</f>
        <v>2394</v>
      </c>
      <c r="Y164" s="49">
        <f>+Tabla1[[#This Row],[STOCK MAYO 2021]]-Tabla1[[#This Row],[REQUISICIONES JUNIO 2021]]+Tabla1[[#This Row],[ENTRADAS JUNIO 2021]]</f>
        <v>1968</v>
      </c>
      <c r="Z164" s="40" t="s">
        <v>105</v>
      </c>
      <c r="AA164" s="45">
        <v>2.48</v>
      </c>
      <c r="AB164" s="35">
        <f t="shared" si="4"/>
        <v>2.9264000000000001</v>
      </c>
      <c r="AC164" s="93">
        <f>Tabla1[[#This Row],[STOCK JUNIO ]]*Tabla1[[#This Row],[COSTO UNITARIO SIN ITBIS]]</f>
        <v>4880.6400000000003</v>
      </c>
    </row>
    <row r="165" spans="1:29" s="8" customFormat="1" ht="15.75" customHeight="1" x14ac:dyDescent="0.25">
      <c r="A165" s="261">
        <v>156</v>
      </c>
      <c r="B165" s="31">
        <v>44109</v>
      </c>
      <c r="C165" s="41" t="s">
        <v>11</v>
      </c>
      <c r="D165" s="31">
        <v>44109</v>
      </c>
      <c r="E165" s="137"/>
      <c r="F165" s="44"/>
      <c r="G165" s="40" t="s">
        <v>116</v>
      </c>
      <c r="H165" s="46">
        <v>2240</v>
      </c>
      <c r="I165" s="46"/>
      <c r="J165" s="46">
        <f>+'INVENTARIO ABRIL-JUNIO 2021'!$H165-'INVENTARIO ABRIL-JUNIO 2021'!$I165</f>
        <v>2240</v>
      </c>
      <c r="K165" s="46"/>
      <c r="L165" s="46"/>
      <c r="M165" s="46"/>
      <c r="N165" s="46"/>
      <c r="O165" s="167"/>
      <c r="P165" s="46">
        <f>100+100</f>
        <v>200</v>
      </c>
      <c r="Q165" s="46">
        <v>100</v>
      </c>
      <c r="R165" s="46"/>
      <c r="S165" s="46"/>
      <c r="T165" s="46"/>
      <c r="U165" s="46">
        <f>+Tabla1[[#This Row],[STOCK    FISICO ENERO 2021]]-Tabla1[[#This Row],[REQUISICIONES FEBRERO 2021]]</f>
        <v>2040</v>
      </c>
      <c r="V165" s="46">
        <f>+Tabla1[[#This Row],[STOCK  FEBRERO 2021]]-Tabla1[[#This Row],[REQUISICIONES MARZO 2021]]+Tabla1[[#This Row],[ENTRADAS MARZO 2021]]</f>
        <v>1940</v>
      </c>
      <c r="W165" s="46">
        <f>+Tabla1[[#This Row],[STOCK MARZO 2021]]-Tabla1[[#This Row],[REQUISICIONES ABRIL 2021]]+Tabla1[[#This Row],[ENTRADAS ABRIL 2021]]</f>
        <v>1940</v>
      </c>
      <c r="X165" s="46">
        <f>+Tabla1[[#This Row],[STOCK ABRIL 2021]]-Tabla1[[#This Row],[REQUISICIONES MAYO 2021]]+Tabla1[[#This Row],[ENTRADAS MAYO 2021]]</f>
        <v>1940</v>
      </c>
      <c r="Y165" s="46">
        <f>+Tabla1[[#This Row],[STOCK MAYO 2021]]-Tabla1[[#This Row],[REQUISICIONES JUNIO 2021]]+Tabla1[[#This Row],[ENTRADAS JUNIO 2021]]</f>
        <v>1940</v>
      </c>
      <c r="Z165" s="40" t="s">
        <v>12</v>
      </c>
      <c r="AA165" s="45">
        <v>0</v>
      </c>
      <c r="AB165" s="35">
        <f t="shared" si="4"/>
        <v>0</v>
      </c>
      <c r="AC165" s="93">
        <f>Tabla1[[#This Row],[STOCK JUNIO ]]*Tabla1[[#This Row],[COSTO UNITARIO SIN ITBIS]]</f>
        <v>0</v>
      </c>
    </row>
    <row r="166" spans="1:29" s="8" customFormat="1" ht="15.75" customHeight="1" x14ac:dyDescent="0.25">
      <c r="A166" s="261">
        <v>157</v>
      </c>
      <c r="B166" s="31">
        <v>44294</v>
      </c>
      <c r="C166" s="41" t="s">
        <v>11</v>
      </c>
      <c r="D166" s="31">
        <v>44294</v>
      </c>
      <c r="E166" s="137" t="s">
        <v>774</v>
      </c>
      <c r="F166" s="44"/>
      <c r="G166" s="40" t="s">
        <v>117</v>
      </c>
      <c r="H166" s="46">
        <v>0</v>
      </c>
      <c r="I166" s="164"/>
      <c r="J166" s="120">
        <f>+'INVENTARIO ABRIL-JUNIO 2021'!$H166-'INVENTARIO ABRIL-JUNIO 2021'!$I166</f>
        <v>0</v>
      </c>
      <c r="K166" s="164"/>
      <c r="L166" s="164"/>
      <c r="M166" s="46">
        <f>2*500</f>
        <v>1000</v>
      </c>
      <c r="N166" s="46"/>
      <c r="O166" s="167"/>
      <c r="P166" s="164"/>
      <c r="Q166" s="164"/>
      <c r="R166" s="46">
        <f>500+100</f>
        <v>600</v>
      </c>
      <c r="S166" s="164"/>
      <c r="T166" s="164"/>
      <c r="U166" s="46"/>
      <c r="V166" s="46"/>
      <c r="W166" s="46">
        <f>+Tabla1[[#This Row],[STOCK MARZO 2021]]-Tabla1[[#This Row],[REQUISICIONES ABRIL 2021]]+Tabla1[[#This Row],[ENTRADAS ABRIL 2021]]</f>
        <v>400</v>
      </c>
      <c r="X166" s="46">
        <f>+Tabla1[[#This Row],[STOCK ABRIL 2021]]-Tabla1[[#This Row],[REQUISICIONES MAYO 2021]]+Tabla1[[#This Row],[ENTRADAS MAYO 2021]]</f>
        <v>400</v>
      </c>
      <c r="Y166" s="46">
        <f>+Tabla1[[#This Row],[STOCK MAYO 2021]]-Tabla1[[#This Row],[REQUISICIONES JUNIO 2021]]+Tabla1[[#This Row],[ENTRADAS JUNIO 2021]]</f>
        <v>400</v>
      </c>
      <c r="Z166" s="40" t="s">
        <v>12</v>
      </c>
      <c r="AA166" s="45">
        <v>5</v>
      </c>
      <c r="AB166" s="35">
        <f t="shared" si="4"/>
        <v>5.9</v>
      </c>
      <c r="AC166" s="93">
        <f>Tabla1[[#This Row],[STOCK JUNIO ]]*Tabla1[[#This Row],[COSTO UNITARIO SIN ITBIS]]</f>
        <v>2000</v>
      </c>
    </row>
    <row r="167" spans="1:29" s="8" customFormat="1" ht="14.25" customHeight="1" x14ac:dyDescent="0.25">
      <c r="A167" s="261">
        <v>158</v>
      </c>
      <c r="B167" s="53">
        <v>43440</v>
      </c>
      <c r="C167" s="41" t="s">
        <v>11</v>
      </c>
      <c r="D167" s="53">
        <v>43440</v>
      </c>
      <c r="E167" s="140"/>
      <c r="F167" s="43">
        <v>1173</v>
      </c>
      <c r="G167" s="40" t="s">
        <v>118</v>
      </c>
      <c r="H167" s="49">
        <v>1500</v>
      </c>
      <c r="I167" s="49">
        <v>20</v>
      </c>
      <c r="J167" s="49">
        <f>+'INVENTARIO ABRIL-JUNIO 2021'!$H167-'INVENTARIO ABRIL-JUNIO 2021'!$I167</f>
        <v>1480</v>
      </c>
      <c r="K167" s="49"/>
      <c r="L167" s="49"/>
      <c r="M167" s="49"/>
      <c r="N167" s="49"/>
      <c r="O167" s="168"/>
      <c r="P167" s="49">
        <f>25+50+50+500+5</f>
        <v>630</v>
      </c>
      <c r="Q167" s="49">
        <f>10+100</f>
        <v>110</v>
      </c>
      <c r="R167" s="49">
        <f>10+12+100+10+100+508</f>
        <v>740</v>
      </c>
      <c r="S167" s="49"/>
      <c r="T167" s="49"/>
      <c r="U167" s="49">
        <f>+Tabla1[[#This Row],[STOCK    FISICO ENERO 2021]]-Tabla1[[#This Row],[REQUISICIONES FEBRERO 2021]]</f>
        <v>850</v>
      </c>
      <c r="V167" s="49">
        <f>+Tabla1[[#This Row],[STOCK  FEBRERO 2021]]-Tabla1[[#This Row],[REQUISICIONES MARZO 2021]]+Tabla1[[#This Row],[ENTRADAS MARZO 2021]]</f>
        <v>740</v>
      </c>
      <c r="W167" s="49">
        <f>+Tabla1[[#This Row],[STOCK MARZO 2021]]-Tabla1[[#This Row],[REQUISICIONES ABRIL 2021]]+Tabla1[[#This Row],[ENTRADAS ABRIL 2021]]</f>
        <v>0</v>
      </c>
      <c r="X167" s="49">
        <f>+Tabla1[[#This Row],[STOCK ABRIL 2021]]-Tabla1[[#This Row],[REQUISICIONES MAYO 2021]]+Tabla1[[#This Row],[ENTRADAS MAYO 2021]]</f>
        <v>0</v>
      </c>
      <c r="Y167" s="49">
        <f>+Tabla1[[#This Row],[STOCK MAYO 2021]]-Tabla1[[#This Row],[REQUISICIONES JUNIO 2021]]+Tabla1[[#This Row],[ENTRADAS JUNIO 2021]]</f>
        <v>0</v>
      </c>
      <c r="Z167" s="40" t="s">
        <v>105</v>
      </c>
      <c r="AA167" s="45">
        <v>0.9</v>
      </c>
      <c r="AB167" s="35">
        <f t="shared" si="4"/>
        <v>1.0620000000000001</v>
      </c>
      <c r="AC167" s="93">
        <f>Tabla1[[#This Row],[STOCK JUNIO ]]*Tabla1[[#This Row],[COSTO UNITARIO SIN ITBIS]]</f>
        <v>0</v>
      </c>
    </row>
    <row r="168" spans="1:29" s="8" customFormat="1" ht="14.25" customHeight="1" x14ac:dyDescent="0.25">
      <c r="A168" s="261">
        <v>159</v>
      </c>
      <c r="B168" s="117">
        <v>44285</v>
      </c>
      <c r="C168" s="41" t="s">
        <v>11</v>
      </c>
      <c r="D168" s="117">
        <v>44285</v>
      </c>
      <c r="E168" s="138" t="s">
        <v>739</v>
      </c>
      <c r="F168" s="118"/>
      <c r="G168" s="40" t="s">
        <v>118</v>
      </c>
      <c r="H168" s="126"/>
      <c r="I168" s="126"/>
      <c r="J168" s="120">
        <f>+'INVENTARIO ABRIL-JUNIO 2021'!$H168-'INVENTARIO ABRIL-JUNIO 2021'!$I168</f>
        <v>0</v>
      </c>
      <c r="K168" s="126"/>
      <c r="L168" s="126">
        <f>3*500</f>
        <v>1500</v>
      </c>
      <c r="M168" s="126"/>
      <c r="N168" s="126"/>
      <c r="O168" s="121"/>
      <c r="P168" s="126"/>
      <c r="Q168" s="126"/>
      <c r="R168" s="126">
        <v>492</v>
      </c>
      <c r="S168" s="126">
        <f>100+6+50</f>
        <v>156</v>
      </c>
      <c r="T168" s="126">
        <f>15+20+6+100</f>
        <v>141</v>
      </c>
      <c r="U168" s="121">
        <f>+Tabla1[[#This Row],[STOCK    FISICO ENERO 2021]]-Tabla1[[#This Row],[REQUISICIONES FEBRERO 2021]]</f>
        <v>0</v>
      </c>
      <c r="V168" s="121">
        <f>+Tabla1[[#This Row],[STOCK  FEBRERO 2021]]-Tabla1[[#This Row],[REQUISICIONES MARZO 2021]]+Tabla1[[#This Row],[ENTRADAS MARZO 2021]]</f>
        <v>1500</v>
      </c>
      <c r="W168" s="121">
        <f>+Tabla1[[#This Row],[STOCK MARZO 2021]]-Tabla1[[#This Row],[REQUISICIONES ABRIL 2021]]+Tabla1[[#This Row],[ENTRADAS ABRIL 2021]]</f>
        <v>1008</v>
      </c>
      <c r="X168" s="121">
        <f>+Tabla1[[#This Row],[STOCK ABRIL 2021]]-Tabla1[[#This Row],[REQUISICIONES MAYO 2021]]+Tabla1[[#This Row],[ENTRADAS MAYO 2021]]</f>
        <v>852</v>
      </c>
      <c r="Y168" s="121">
        <f>+Tabla1[[#This Row],[STOCK MAYO 2021]]-Tabla1[[#This Row],[REQUISICIONES JUNIO 2021]]+Tabla1[[#This Row],[ENTRADAS JUNIO 2021]]</f>
        <v>711</v>
      </c>
      <c r="Z168" s="40" t="s">
        <v>105</v>
      </c>
      <c r="AA168" s="122">
        <v>0.81200000000000006</v>
      </c>
      <c r="AB168" s="93">
        <f t="shared" si="4"/>
        <v>0.95816000000000012</v>
      </c>
      <c r="AC168" s="93">
        <f>Tabla1[[#This Row],[STOCK JUNIO ]]*Tabla1[[#This Row],[COSTO UNITARIO SIN ITBIS]]</f>
        <v>577.33199999999999</v>
      </c>
    </row>
    <row r="169" spans="1:29" s="8" customFormat="1" x14ac:dyDescent="0.25">
      <c r="A169" s="261">
        <v>160</v>
      </c>
      <c r="B169" s="42">
        <v>44109</v>
      </c>
      <c r="C169" s="41" t="s">
        <v>11</v>
      </c>
      <c r="D169" s="42">
        <v>44109</v>
      </c>
      <c r="E169" s="139"/>
      <c r="F169" s="44"/>
      <c r="G169" s="40" t="s">
        <v>119</v>
      </c>
      <c r="H169" s="40">
        <v>816</v>
      </c>
      <c r="I169" s="40"/>
      <c r="J169" s="40">
        <f>+'INVENTARIO ABRIL-JUNIO 2021'!$H169-'INVENTARIO ABRIL-JUNIO 2021'!$I169</f>
        <v>816</v>
      </c>
      <c r="K169" s="40"/>
      <c r="L169" s="40"/>
      <c r="M169" s="40"/>
      <c r="N169" s="40"/>
      <c r="O169" s="168"/>
      <c r="P169" s="40"/>
      <c r="Q169" s="40"/>
      <c r="R169" s="40">
        <v>100</v>
      </c>
      <c r="S169" s="40"/>
      <c r="T169" s="40">
        <v>100</v>
      </c>
      <c r="U169" s="40">
        <f>+Tabla1[[#This Row],[STOCK    FISICO ENERO 2021]]-Tabla1[[#This Row],[REQUISICIONES FEBRERO 2021]]</f>
        <v>816</v>
      </c>
      <c r="V169" s="40">
        <f>+Tabla1[[#This Row],[STOCK  FEBRERO 2021]]-Tabla1[[#This Row],[REQUISICIONES MARZO 2021]]+Tabla1[[#This Row],[ENTRADAS MARZO 2021]]</f>
        <v>816</v>
      </c>
      <c r="W169" s="40">
        <f>+Tabla1[[#This Row],[STOCK MARZO 2021]]-Tabla1[[#This Row],[REQUISICIONES ABRIL 2021]]+Tabla1[[#This Row],[ENTRADAS ABRIL 2021]]</f>
        <v>716</v>
      </c>
      <c r="X169" s="40">
        <f>+Tabla1[[#This Row],[STOCK ABRIL 2021]]-Tabla1[[#This Row],[REQUISICIONES MAYO 2021]]+Tabla1[[#This Row],[ENTRADAS MAYO 2021]]</f>
        <v>716</v>
      </c>
      <c r="Y169" s="40">
        <f>+Tabla1[[#This Row],[STOCK MAYO 2021]]-Tabla1[[#This Row],[REQUISICIONES JUNIO 2021]]+Tabla1[[#This Row],[ENTRADAS JUNIO 2021]]</f>
        <v>616</v>
      </c>
      <c r="Z169" s="40" t="s">
        <v>105</v>
      </c>
      <c r="AA169" s="45">
        <v>0</v>
      </c>
      <c r="AB169" s="35">
        <f t="shared" si="4"/>
        <v>0</v>
      </c>
      <c r="AC169" s="93">
        <f>Tabla1[[#This Row],[STOCK JUNIO ]]*Tabla1[[#This Row],[COSTO UNITARIO SIN ITBIS]]</f>
        <v>0</v>
      </c>
    </row>
    <row r="170" spans="1:29" s="8" customFormat="1" x14ac:dyDescent="0.25">
      <c r="A170" s="261">
        <v>161</v>
      </c>
      <c r="B170" s="31">
        <v>44294</v>
      </c>
      <c r="C170" s="41" t="s">
        <v>11</v>
      </c>
      <c r="D170" s="31">
        <v>44294</v>
      </c>
      <c r="E170" s="137" t="s">
        <v>774</v>
      </c>
      <c r="F170" s="169"/>
      <c r="G170" s="40" t="s">
        <v>119</v>
      </c>
      <c r="H170" s="63"/>
      <c r="I170" s="63"/>
      <c r="J170" s="120">
        <f>+'INVENTARIO ABRIL-JUNIO 2021'!$H170-'INVENTARIO ABRIL-JUNIO 2021'!$I170</f>
        <v>0</v>
      </c>
      <c r="K170" s="63"/>
      <c r="L170" s="63"/>
      <c r="M170" s="46">
        <f>2*500</f>
        <v>1000</v>
      </c>
      <c r="N170" s="46"/>
      <c r="O170" s="167"/>
      <c r="P170" s="63"/>
      <c r="Q170" s="63"/>
      <c r="R170" s="63"/>
      <c r="S170" s="63"/>
      <c r="T170" s="63"/>
      <c r="U170" s="125">
        <f>+Tabla1[[#This Row],[STOCK    FISICO ENERO 2021]]-Tabla1[[#This Row],[REQUISICIONES FEBRERO 2021]]</f>
        <v>0</v>
      </c>
      <c r="V170" s="125">
        <f>+Tabla1[[#This Row],[STOCK  FEBRERO 2021]]-Tabla1[[#This Row],[REQUISICIONES MARZO 2021]]+Tabla1[[#This Row],[ENTRADAS MARZO 2021]]</f>
        <v>0</v>
      </c>
      <c r="W170" s="168">
        <f>+Tabla1[[#This Row],[STOCK MARZO 2021]]-Tabla1[[#This Row],[REQUISICIONES ABRIL 2021]]+Tabla1[[#This Row],[ENTRADAS ABRIL 2021]]</f>
        <v>1000</v>
      </c>
      <c r="X170" s="168">
        <f>+Tabla1[[#This Row],[STOCK ABRIL 2021]]-Tabla1[[#This Row],[REQUISICIONES MAYO 2021]]+Tabla1[[#This Row],[ENTRADAS MAYO 2021]]</f>
        <v>1000</v>
      </c>
      <c r="Y170" s="168">
        <f>+Tabla1[[#This Row],[STOCK MAYO 2021]]-Tabla1[[#This Row],[REQUISICIONES JUNIO 2021]]+Tabla1[[#This Row],[ENTRADAS JUNIO 2021]]</f>
        <v>1000</v>
      </c>
      <c r="Z170" s="40" t="s">
        <v>105</v>
      </c>
      <c r="AA170" s="34">
        <v>3</v>
      </c>
      <c r="AB170" s="35">
        <f t="shared" si="4"/>
        <v>3.54</v>
      </c>
      <c r="AC170" s="93">
        <f>Tabla1[[#This Row],[STOCK JUNIO ]]*Tabla1[[#This Row],[COSTO UNITARIO SIN ITBIS]]</f>
        <v>3000</v>
      </c>
    </row>
    <row r="171" spans="1:29" s="8" customFormat="1" x14ac:dyDescent="0.25">
      <c r="A171" s="261">
        <v>162</v>
      </c>
      <c r="B171" s="42">
        <v>43724</v>
      </c>
      <c r="C171" s="41" t="s">
        <v>11</v>
      </c>
      <c r="D171" s="42">
        <v>43724</v>
      </c>
      <c r="E171" s="139"/>
      <c r="F171" s="43">
        <v>1181</v>
      </c>
      <c r="G171" s="40" t="s">
        <v>120</v>
      </c>
      <c r="H171" s="40">
        <v>118</v>
      </c>
      <c r="I171" s="40">
        <f>12+1</f>
        <v>13</v>
      </c>
      <c r="J171" s="40">
        <f>+'INVENTARIO ABRIL-JUNIO 2021'!$H171-'INVENTARIO ABRIL-JUNIO 2021'!$I171</f>
        <v>105</v>
      </c>
      <c r="K171" s="40"/>
      <c r="L171" s="40"/>
      <c r="M171" s="40"/>
      <c r="N171" s="40"/>
      <c r="O171" s="168"/>
      <c r="P171" s="40">
        <f>5+10+4+1</f>
        <v>20</v>
      </c>
      <c r="Q171" s="40">
        <f>10+1+2+10+4+20</f>
        <v>47</v>
      </c>
      <c r="R171" s="40">
        <f>2+10+3+3+3</f>
        <v>21</v>
      </c>
      <c r="S171" s="40">
        <v>7</v>
      </c>
      <c r="T171" s="40"/>
      <c r="U171" s="40">
        <f>+Tabla1[[#This Row],[STOCK    FISICO ENERO 2021]]-Tabla1[[#This Row],[REQUISICIONES FEBRERO 2021]]</f>
        <v>85</v>
      </c>
      <c r="V171" s="40">
        <f>+Tabla1[[#This Row],[STOCK  FEBRERO 2021]]-Tabla1[[#This Row],[REQUISICIONES MARZO 2021]]+Tabla1[[#This Row],[ENTRADAS MARZO 2021]]</f>
        <v>38</v>
      </c>
      <c r="W171" s="40">
        <f>+Tabla1[[#This Row],[STOCK MARZO 2021]]-Tabla1[[#This Row],[REQUISICIONES ABRIL 2021]]+Tabla1[[#This Row],[ENTRADAS ABRIL 2021]]</f>
        <v>17</v>
      </c>
      <c r="X171" s="40">
        <f>+Tabla1[[#This Row],[STOCK ABRIL 2021]]-Tabla1[[#This Row],[REQUISICIONES MAYO 2021]]+Tabla1[[#This Row],[ENTRADAS MAYO 2021]]</f>
        <v>10</v>
      </c>
      <c r="Y171" s="40">
        <f>+Tabla1[[#This Row],[STOCK MAYO 2021]]-Tabla1[[#This Row],[REQUISICIONES JUNIO 2021]]+Tabla1[[#This Row],[ENTRADAS JUNIO 2021]]</f>
        <v>10</v>
      </c>
      <c r="Z171" s="40" t="s">
        <v>12</v>
      </c>
      <c r="AA171" s="41">
        <v>49</v>
      </c>
      <c r="AB171" s="35">
        <f t="shared" si="4"/>
        <v>57.82</v>
      </c>
      <c r="AC171" s="93">
        <f>Tabla1[[#This Row],[STOCK JUNIO ]]*Tabla1[[#This Row],[COSTO UNITARIO SIN ITBIS]]</f>
        <v>490</v>
      </c>
    </row>
    <row r="172" spans="1:29" s="8" customFormat="1" x14ac:dyDescent="0.25">
      <c r="A172" s="261">
        <v>163</v>
      </c>
      <c r="B172" s="31">
        <v>44028</v>
      </c>
      <c r="C172" s="28" t="s">
        <v>11</v>
      </c>
      <c r="D172" s="31">
        <v>44055</v>
      </c>
      <c r="E172" s="137"/>
      <c r="F172" s="28">
        <v>1388</v>
      </c>
      <c r="G172" s="32" t="s">
        <v>121</v>
      </c>
      <c r="H172" s="46">
        <f>79+72</f>
        <v>151</v>
      </c>
      <c r="I172" s="46"/>
      <c r="J172" s="46">
        <f>+'INVENTARIO ABRIL-JUNIO 2021'!$H172-'INVENTARIO ABRIL-JUNIO 2021'!$I172</f>
        <v>151</v>
      </c>
      <c r="K172" s="46"/>
      <c r="L172" s="46"/>
      <c r="M172" s="46"/>
      <c r="N172" s="46"/>
      <c r="O172" s="167"/>
      <c r="P172" s="46">
        <v>5</v>
      </c>
      <c r="Q172" s="46"/>
      <c r="R172" s="46">
        <f>8+4</f>
        <v>12</v>
      </c>
      <c r="S172" s="46">
        <f>60+4+5+5</f>
        <v>74</v>
      </c>
      <c r="T172" s="46">
        <f>2+8+10+2+5+1+12</f>
        <v>40</v>
      </c>
      <c r="U172" s="46">
        <f>+Tabla1[[#This Row],[STOCK    FISICO ENERO 2021]]-Tabla1[[#This Row],[REQUISICIONES FEBRERO 2021]]</f>
        <v>146</v>
      </c>
      <c r="V172" s="46">
        <f>+Tabla1[[#This Row],[STOCK  FEBRERO 2021]]-Tabla1[[#This Row],[REQUISICIONES MARZO 2021]]+Tabla1[[#This Row],[ENTRADAS MARZO 2021]]</f>
        <v>146</v>
      </c>
      <c r="W172" s="46">
        <f>+Tabla1[[#This Row],[STOCK MARZO 2021]]-Tabla1[[#This Row],[REQUISICIONES ABRIL 2021]]+Tabla1[[#This Row],[ENTRADAS ABRIL 2021]]</f>
        <v>134</v>
      </c>
      <c r="X172" s="46">
        <f>+Tabla1[[#This Row],[STOCK ABRIL 2021]]-Tabla1[[#This Row],[REQUISICIONES MAYO 2021]]+Tabla1[[#This Row],[ENTRADAS MAYO 2021]]</f>
        <v>60</v>
      </c>
      <c r="Y172" s="46">
        <f>+Tabla1[[#This Row],[STOCK MAYO 2021]]-Tabla1[[#This Row],[REQUISICIONES JUNIO 2021]]+Tabla1[[#This Row],[ENTRADAS JUNIO 2021]]</f>
        <v>20</v>
      </c>
      <c r="Z172" s="30" t="s">
        <v>12</v>
      </c>
      <c r="AA172" s="34">
        <v>70</v>
      </c>
      <c r="AB172" s="35">
        <f t="shared" si="4"/>
        <v>82.6</v>
      </c>
      <c r="AC172" s="93">
        <f>Tabla1[[#This Row],[STOCK JUNIO ]]*Tabla1[[#This Row],[COSTO UNITARIO SIN ITBIS]]</f>
        <v>1400</v>
      </c>
    </row>
    <row r="173" spans="1:29" s="9" customFormat="1" ht="24.75" x14ac:dyDescent="0.25">
      <c r="A173" s="261">
        <v>164</v>
      </c>
      <c r="B173" s="31">
        <v>43440</v>
      </c>
      <c r="C173" s="28" t="s">
        <v>11</v>
      </c>
      <c r="D173" s="31">
        <v>43440</v>
      </c>
      <c r="E173" s="137"/>
      <c r="F173" s="28">
        <v>1418</v>
      </c>
      <c r="G173" s="32" t="s">
        <v>631</v>
      </c>
      <c r="H173" s="36">
        <v>1100</v>
      </c>
      <c r="I173" s="36"/>
      <c r="J173" s="36">
        <f>+'INVENTARIO ABRIL-JUNIO 2021'!$H173-'INVENTARIO ABRIL-JUNIO 2021'!$I173</f>
        <v>1100</v>
      </c>
      <c r="K173" s="36"/>
      <c r="L173" s="36"/>
      <c r="M173" s="36"/>
      <c r="N173" s="36"/>
      <c r="O173" s="294"/>
      <c r="P173" s="36"/>
      <c r="Q173" s="36"/>
      <c r="R173" s="36"/>
      <c r="S173" s="36"/>
      <c r="T173" s="36"/>
      <c r="U173" s="36">
        <f>+Tabla1[[#This Row],[STOCK    FISICO ENERO 2021]]-Tabla1[[#This Row],[REQUISICIONES FEBRERO 2021]]</f>
        <v>1100</v>
      </c>
      <c r="V173" s="36">
        <f>+Tabla1[[#This Row],[STOCK  FEBRERO 2021]]-Tabla1[[#This Row],[REQUISICIONES MARZO 2021]]+Tabla1[[#This Row],[ENTRADAS MARZO 2021]]</f>
        <v>1100</v>
      </c>
      <c r="W173" s="36">
        <f>+Tabla1[[#This Row],[STOCK MARZO 2021]]-Tabla1[[#This Row],[REQUISICIONES ABRIL 2021]]+Tabla1[[#This Row],[ENTRADAS ABRIL 2021]]</f>
        <v>1100</v>
      </c>
      <c r="X173" s="36">
        <f>+Tabla1[[#This Row],[STOCK ABRIL 2021]]-Tabla1[[#This Row],[REQUISICIONES MAYO 2021]]+Tabla1[[#This Row],[ENTRADAS MAYO 2021]]</f>
        <v>1100</v>
      </c>
      <c r="Y173" s="36">
        <f>+Tabla1[[#This Row],[STOCK MAYO 2021]]-Tabla1[[#This Row],[REQUISICIONES JUNIO 2021]]+Tabla1[[#This Row],[ENTRADAS JUNIO 2021]]</f>
        <v>1100</v>
      </c>
      <c r="Z173" s="30" t="s">
        <v>12</v>
      </c>
      <c r="AA173" s="34">
        <v>194.7</v>
      </c>
      <c r="AB173" s="35">
        <f t="shared" si="4"/>
        <v>229.74599999999998</v>
      </c>
      <c r="AC173" s="93">
        <f>Tabla1[[#This Row],[STOCK JUNIO ]]*Tabla1[[#This Row],[COSTO UNITARIO SIN ITBIS]]</f>
        <v>214170</v>
      </c>
    </row>
    <row r="174" spans="1:29" s="8" customFormat="1" x14ac:dyDescent="0.25">
      <c r="A174" s="261">
        <v>165</v>
      </c>
      <c r="B174" s="31">
        <v>44168</v>
      </c>
      <c r="C174" s="28" t="s">
        <v>11</v>
      </c>
      <c r="D174" s="31">
        <v>44151</v>
      </c>
      <c r="E174" s="137"/>
      <c r="F174" s="28">
        <v>1404</v>
      </c>
      <c r="G174" s="32" t="s">
        <v>122</v>
      </c>
      <c r="H174" s="33">
        <v>163</v>
      </c>
      <c r="I174" s="33">
        <v>5</v>
      </c>
      <c r="J174" s="33">
        <f>+'INVENTARIO ABRIL-JUNIO 2021'!$H174-'INVENTARIO ABRIL-JUNIO 2021'!$I174</f>
        <v>158</v>
      </c>
      <c r="K174" s="33"/>
      <c r="L174" s="33"/>
      <c r="M174" s="33"/>
      <c r="N174" s="33"/>
      <c r="O174" s="167"/>
      <c r="P174" s="33">
        <f>1+1</f>
        <v>2</v>
      </c>
      <c r="Q174" s="33">
        <f>1+1</f>
        <v>2</v>
      </c>
      <c r="R174" s="33">
        <f>3+3</f>
        <v>6</v>
      </c>
      <c r="S174" s="33"/>
      <c r="T174" s="33">
        <v>2</v>
      </c>
      <c r="U174" s="33">
        <f>+Tabla1[[#This Row],[STOCK    FISICO ENERO 2021]]-Tabla1[[#This Row],[REQUISICIONES FEBRERO 2021]]</f>
        <v>156</v>
      </c>
      <c r="V174" s="33">
        <f>+Tabla1[[#This Row],[STOCK  FEBRERO 2021]]-Tabla1[[#This Row],[REQUISICIONES MARZO 2021]]+Tabla1[[#This Row],[ENTRADAS MARZO 2021]]</f>
        <v>154</v>
      </c>
      <c r="W174" s="33">
        <f>+Tabla1[[#This Row],[STOCK MARZO 2021]]-Tabla1[[#This Row],[REQUISICIONES ABRIL 2021]]+Tabla1[[#This Row],[ENTRADAS ABRIL 2021]]</f>
        <v>148</v>
      </c>
      <c r="X174" s="33">
        <f>+Tabla1[[#This Row],[STOCK ABRIL 2021]]-Tabla1[[#This Row],[REQUISICIONES MAYO 2021]]+Tabla1[[#This Row],[ENTRADAS MAYO 2021]]</f>
        <v>148</v>
      </c>
      <c r="Y174" s="33">
        <f>+Tabla1[[#This Row],[STOCK MAYO 2021]]-Tabla1[[#This Row],[REQUISICIONES JUNIO 2021]]+Tabla1[[#This Row],[ENTRADAS JUNIO 2021]]</f>
        <v>146</v>
      </c>
      <c r="Z174" s="30" t="s">
        <v>12</v>
      </c>
      <c r="AA174" s="34">
        <v>128.85</v>
      </c>
      <c r="AB174" s="35">
        <f t="shared" si="4"/>
        <v>152.04300000000001</v>
      </c>
      <c r="AC174" s="93">
        <f>Tabla1[[#This Row],[STOCK JUNIO ]]*Tabla1[[#This Row],[COSTO UNITARIO SIN ITBIS]]</f>
        <v>18812.099999999999</v>
      </c>
    </row>
    <row r="175" spans="1:29" s="8" customFormat="1" x14ac:dyDescent="0.25">
      <c r="A175" s="261">
        <v>166</v>
      </c>
      <c r="B175" s="31">
        <v>44291</v>
      </c>
      <c r="C175" s="28" t="s">
        <v>11</v>
      </c>
      <c r="D175" s="31">
        <v>44291</v>
      </c>
      <c r="E175" s="137" t="s">
        <v>784</v>
      </c>
      <c r="F175" s="129"/>
      <c r="G175" s="32" t="s">
        <v>787</v>
      </c>
      <c r="H175" s="63"/>
      <c r="I175" s="63"/>
      <c r="J175" s="120">
        <f>+'INVENTARIO ABRIL-JUNIO 2021'!$H175-'INVENTARIO ABRIL-JUNIO 2021'!$I175</f>
        <v>0</v>
      </c>
      <c r="K175" s="63"/>
      <c r="L175" s="63"/>
      <c r="M175" s="63">
        <f>5*12</f>
        <v>60</v>
      </c>
      <c r="N175" s="63"/>
      <c r="O175" s="125"/>
      <c r="P175" s="63"/>
      <c r="Q175" s="63"/>
      <c r="R175" s="63"/>
      <c r="S175" s="63"/>
      <c r="T175" s="63"/>
      <c r="U175" s="125">
        <f>+Tabla1[[#This Row],[STOCK    FISICO ENERO 2021]]-Tabla1[[#This Row],[REQUISICIONES FEBRERO 2021]]</f>
        <v>0</v>
      </c>
      <c r="V175" s="125">
        <f>+Tabla1[[#This Row],[STOCK  FEBRERO 2021]]-Tabla1[[#This Row],[REQUISICIONES MARZO 2021]]+Tabla1[[#This Row],[ENTRADAS MARZO 2021]]</f>
        <v>0</v>
      </c>
      <c r="W175" s="167">
        <f>+Tabla1[[#This Row],[STOCK MARZO 2021]]-Tabla1[[#This Row],[REQUISICIONES ABRIL 2021]]+Tabla1[[#This Row],[ENTRADAS ABRIL 2021]]</f>
        <v>60</v>
      </c>
      <c r="X175" s="167">
        <f>+Tabla1[[#This Row],[STOCK ABRIL 2021]]-Tabla1[[#This Row],[REQUISICIONES MAYO 2021]]+Tabla1[[#This Row],[ENTRADAS MAYO 2021]]</f>
        <v>60</v>
      </c>
      <c r="Y175" s="167">
        <f>+Tabla1[[#This Row],[STOCK MAYO 2021]]-Tabla1[[#This Row],[REQUISICIONES JUNIO 2021]]+Tabla1[[#This Row],[ENTRADAS JUNIO 2021]]</f>
        <v>60</v>
      </c>
      <c r="Z175" s="30" t="s">
        <v>12</v>
      </c>
      <c r="AA175" s="34">
        <v>3.4166666666666665</v>
      </c>
      <c r="AB175" s="35" t="s">
        <v>747</v>
      </c>
      <c r="AC175" s="93">
        <f>Tabla1[[#This Row],[STOCK JUNIO ]]*Tabla1[[#This Row],[COSTO UNITARIO SIN ITBIS]]</f>
        <v>205</v>
      </c>
    </row>
    <row r="176" spans="1:29" s="8" customFormat="1" x14ac:dyDescent="0.25">
      <c r="A176" s="261">
        <v>167</v>
      </c>
      <c r="B176" s="31">
        <v>43440</v>
      </c>
      <c r="C176" s="28" t="s">
        <v>11</v>
      </c>
      <c r="D176" s="31">
        <v>44075</v>
      </c>
      <c r="E176" s="137"/>
      <c r="F176" s="28">
        <v>1372</v>
      </c>
      <c r="G176" s="32" t="s">
        <v>123</v>
      </c>
      <c r="H176" s="46">
        <v>204</v>
      </c>
      <c r="I176" s="46">
        <f>3+1+2</f>
        <v>6</v>
      </c>
      <c r="J176" s="46">
        <f>+'INVENTARIO ABRIL-JUNIO 2021'!$H176-'INVENTARIO ABRIL-JUNIO 2021'!$I176</f>
        <v>198</v>
      </c>
      <c r="K176" s="46"/>
      <c r="L176" s="46"/>
      <c r="M176" s="46"/>
      <c r="N176" s="46"/>
      <c r="O176" s="167"/>
      <c r="P176" s="46">
        <f>2+1+2+3+1+1+2</f>
        <v>12</v>
      </c>
      <c r="Q176" s="46">
        <f>2+1+1+3</f>
        <v>7</v>
      </c>
      <c r="R176" s="46">
        <f>1+2+4+2+2+2+1+2+2+2+4+1+2</f>
        <v>27</v>
      </c>
      <c r="S176" s="46">
        <f>1+1+1+1+1</f>
        <v>5</v>
      </c>
      <c r="T176" s="46">
        <f>3+2+1</f>
        <v>6</v>
      </c>
      <c r="U176" s="46">
        <f>+Tabla1[[#This Row],[STOCK    FISICO ENERO 2021]]-Tabla1[[#This Row],[REQUISICIONES FEBRERO 2021]]</f>
        <v>186</v>
      </c>
      <c r="V176" s="46">
        <f>+Tabla1[[#This Row],[STOCK  FEBRERO 2021]]-Tabla1[[#This Row],[REQUISICIONES MARZO 2021]]+Tabla1[[#This Row],[ENTRADAS MARZO 2021]]</f>
        <v>179</v>
      </c>
      <c r="W176" s="46">
        <f>+Tabla1[[#This Row],[STOCK MARZO 2021]]-Tabla1[[#This Row],[REQUISICIONES ABRIL 2021]]+Tabla1[[#This Row],[ENTRADAS ABRIL 2021]]</f>
        <v>152</v>
      </c>
      <c r="X176" s="46">
        <f>+Tabla1[[#This Row],[STOCK ABRIL 2021]]-Tabla1[[#This Row],[REQUISICIONES MAYO 2021]]+Tabla1[[#This Row],[ENTRADAS MAYO 2021]]</f>
        <v>147</v>
      </c>
      <c r="Y176" s="46">
        <f>+Tabla1[[#This Row],[STOCK MAYO 2021]]-Tabla1[[#This Row],[REQUISICIONES JUNIO 2021]]+Tabla1[[#This Row],[ENTRADAS JUNIO 2021]]</f>
        <v>141</v>
      </c>
      <c r="Z176" s="30" t="s">
        <v>12</v>
      </c>
      <c r="AA176" s="34">
        <v>27.73</v>
      </c>
      <c r="AB176" s="35">
        <f t="shared" si="4"/>
        <v>32.721400000000003</v>
      </c>
      <c r="AC176" s="93">
        <f>Tabla1[[#This Row],[STOCK JUNIO ]]*Tabla1[[#This Row],[COSTO UNITARIO SIN ITBIS]]</f>
        <v>3909.93</v>
      </c>
    </row>
    <row r="177" spans="1:29" s="8" customFormat="1" x14ac:dyDescent="0.25">
      <c r="A177" s="261">
        <v>168</v>
      </c>
      <c r="B177" s="42">
        <v>43108</v>
      </c>
      <c r="C177" s="41" t="s">
        <v>11</v>
      </c>
      <c r="D177" s="42">
        <v>43108</v>
      </c>
      <c r="E177" s="139"/>
      <c r="F177" s="43">
        <v>1198</v>
      </c>
      <c r="G177" s="40" t="s">
        <v>124</v>
      </c>
      <c r="H177" s="40">
        <v>7</v>
      </c>
      <c r="I177" s="40"/>
      <c r="J177" s="40">
        <f>+'INVENTARIO ABRIL-JUNIO 2021'!$H177-'INVENTARIO ABRIL-JUNIO 2021'!$I177</f>
        <v>7</v>
      </c>
      <c r="K177" s="40"/>
      <c r="L177" s="40"/>
      <c r="M177" s="40"/>
      <c r="N177" s="40"/>
      <c r="O177" s="168"/>
      <c r="P177" s="40"/>
      <c r="Q177" s="40"/>
      <c r="R177" s="40">
        <v>1</v>
      </c>
      <c r="S177" s="40"/>
      <c r="T177" s="40"/>
      <c r="U177" s="40">
        <f>+Tabla1[[#This Row],[STOCK    FISICO ENERO 2021]]-Tabla1[[#This Row],[REQUISICIONES FEBRERO 2021]]</f>
        <v>7</v>
      </c>
      <c r="V177" s="40">
        <f>+Tabla1[[#This Row],[STOCK  FEBRERO 2021]]-Tabla1[[#This Row],[REQUISICIONES MARZO 2021]]+Tabla1[[#This Row],[ENTRADAS MARZO 2021]]</f>
        <v>7</v>
      </c>
      <c r="W177" s="40">
        <f>+Tabla1[[#This Row],[STOCK MARZO 2021]]-Tabla1[[#This Row],[REQUISICIONES ABRIL 2021]]+Tabla1[[#This Row],[ENTRADAS ABRIL 2021]]</f>
        <v>6</v>
      </c>
      <c r="X177" s="40">
        <f>+Tabla1[[#This Row],[STOCK ABRIL 2021]]-Tabla1[[#This Row],[REQUISICIONES MAYO 2021]]+Tabla1[[#This Row],[ENTRADAS MAYO 2021]]</f>
        <v>6</v>
      </c>
      <c r="Y177" s="40">
        <f>+Tabla1[[#This Row],[STOCK MAYO 2021]]-Tabla1[[#This Row],[REQUISICIONES JUNIO 2021]]+Tabla1[[#This Row],[ENTRADAS JUNIO 2021]]</f>
        <v>6</v>
      </c>
      <c r="Z177" s="40" t="s">
        <v>125</v>
      </c>
      <c r="AA177" s="45">
        <v>795</v>
      </c>
      <c r="AB177" s="35">
        <f t="shared" si="4"/>
        <v>938.1</v>
      </c>
      <c r="AC177" s="93">
        <f>Tabla1[[#This Row],[STOCK JUNIO ]]*Tabla1[[#This Row],[COSTO UNITARIO SIN ITBIS]]</f>
        <v>4770</v>
      </c>
    </row>
    <row r="178" spans="1:29" s="8" customFormat="1" x14ac:dyDescent="0.25">
      <c r="A178" s="261">
        <v>169</v>
      </c>
      <c r="B178" s="117">
        <v>44285</v>
      </c>
      <c r="C178" s="41" t="s">
        <v>11</v>
      </c>
      <c r="D178" s="117">
        <v>44285</v>
      </c>
      <c r="E178" s="138" t="s">
        <v>739</v>
      </c>
      <c r="F178" s="118"/>
      <c r="G178" s="40" t="s">
        <v>124</v>
      </c>
      <c r="H178" s="120"/>
      <c r="I178" s="120"/>
      <c r="J178" s="120">
        <f>+'INVENTARIO ABRIL-JUNIO 2021'!$H178-'INVENTARIO ABRIL-JUNIO 2021'!$I178</f>
        <v>0</v>
      </c>
      <c r="K178" s="120"/>
      <c r="L178" s="120">
        <v>10</v>
      </c>
      <c r="M178" s="120"/>
      <c r="N178" s="120"/>
      <c r="O178" s="121"/>
      <c r="P178" s="120"/>
      <c r="Q178" s="120"/>
      <c r="R178" s="120"/>
      <c r="S178" s="120"/>
      <c r="T178" s="120"/>
      <c r="U178" s="121">
        <f>+Tabla1[[#This Row],[STOCK    FISICO ENERO 2021]]-Tabla1[[#This Row],[REQUISICIONES FEBRERO 2021]]</f>
        <v>0</v>
      </c>
      <c r="V178" s="121">
        <f>+Tabla1[[#This Row],[STOCK  FEBRERO 2021]]-Tabla1[[#This Row],[REQUISICIONES MARZO 2021]]+Tabla1[[#This Row],[ENTRADAS MARZO 2021]]</f>
        <v>10</v>
      </c>
      <c r="W178" s="121">
        <f>+Tabla1[[#This Row],[STOCK MARZO 2021]]-Tabla1[[#This Row],[REQUISICIONES ABRIL 2021]]+Tabla1[[#This Row],[ENTRADAS ABRIL 2021]]</f>
        <v>10</v>
      </c>
      <c r="X178" s="121">
        <f>+Tabla1[[#This Row],[STOCK ABRIL 2021]]-Tabla1[[#This Row],[REQUISICIONES MAYO 2021]]+Tabla1[[#This Row],[ENTRADAS MAYO 2021]]</f>
        <v>10</v>
      </c>
      <c r="Y178" s="121">
        <f>+Tabla1[[#This Row],[STOCK MAYO 2021]]-Tabla1[[#This Row],[REQUISICIONES JUNIO 2021]]+Tabla1[[#This Row],[ENTRADAS JUNIO 2021]]</f>
        <v>10</v>
      </c>
      <c r="Z178" s="40" t="s">
        <v>125</v>
      </c>
      <c r="AA178" s="122">
        <v>450</v>
      </c>
      <c r="AB178" s="93">
        <f t="shared" si="4"/>
        <v>531</v>
      </c>
      <c r="AC178" s="93">
        <f>Tabla1[[#This Row],[STOCK JUNIO ]]*Tabla1[[#This Row],[COSTO UNITARIO SIN ITBIS]]</f>
        <v>4500</v>
      </c>
    </row>
    <row r="179" spans="1:29" s="8" customFormat="1" x14ac:dyDescent="0.25">
      <c r="A179" s="261">
        <v>170</v>
      </c>
      <c r="B179" s="42">
        <v>43108</v>
      </c>
      <c r="C179" s="41" t="s">
        <v>11</v>
      </c>
      <c r="D179" s="42">
        <v>43108</v>
      </c>
      <c r="E179" s="139"/>
      <c r="F179" s="43">
        <v>1196</v>
      </c>
      <c r="G179" s="40" t="s">
        <v>126</v>
      </c>
      <c r="H179" s="40">
        <v>6</v>
      </c>
      <c r="I179" s="40"/>
      <c r="J179" s="40">
        <f>+'INVENTARIO ABRIL-JUNIO 2021'!$H179-'INVENTARIO ABRIL-JUNIO 2021'!$I179</f>
        <v>6</v>
      </c>
      <c r="K179" s="40"/>
      <c r="L179" s="40"/>
      <c r="M179" s="40"/>
      <c r="N179" s="40"/>
      <c r="O179" s="168"/>
      <c r="P179" s="40"/>
      <c r="Q179" s="40"/>
      <c r="R179" s="40">
        <v>1</v>
      </c>
      <c r="S179" s="40"/>
      <c r="T179" s="40"/>
      <c r="U179" s="40">
        <f>+Tabla1[[#This Row],[STOCK    FISICO ENERO 2021]]-Tabla1[[#This Row],[REQUISICIONES FEBRERO 2021]]</f>
        <v>6</v>
      </c>
      <c r="V179" s="40">
        <f>+Tabla1[[#This Row],[STOCK  FEBRERO 2021]]-Tabla1[[#This Row],[REQUISICIONES MARZO 2021]]+Tabla1[[#This Row],[ENTRADAS MARZO 2021]]</f>
        <v>6</v>
      </c>
      <c r="W179" s="40">
        <f>+Tabla1[[#This Row],[STOCK MARZO 2021]]-Tabla1[[#This Row],[REQUISICIONES ABRIL 2021]]+Tabla1[[#This Row],[ENTRADAS ABRIL 2021]]</f>
        <v>5</v>
      </c>
      <c r="X179" s="40">
        <f>+Tabla1[[#This Row],[STOCK ABRIL 2021]]-Tabla1[[#This Row],[REQUISICIONES MAYO 2021]]+Tabla1[[#This Row],[ENTRADAS MAYO 2021]]</f>
        <v>5</v>
      </c>
      <c r="Y179" s="40">
        <f>+Tabla1[[#This Row],[STOCK MAYO 2021]]-Tabla1[[#This Row],[REQUISICIONES JUNIO 2021]]+Tabla1[[#This Row],[ENTRADAS JUNIO 2021]]</f>
        <v>5</v>
      </c>
      <c r="Z179" s="40" t="s">
        <v>125</v>
      </c>
      <c r="AA179" s="45">
        <v>409.99</v>
      </c>
      <c r="AB179" s="35">
        <f t="shared" si="4"/>
        <v>483.78820000000002</v>
      </c>
      <c r="AC179" s="93">
        <f>Tabla1[[#This Row],[STOCK JUNIO ]]*Tabla1[[#This Row],[COSTO UNITARIO SIN ITBIS]]</f>
        <v>2049.9499999999998</v>
      </c>
    </row>
    <row r="180" spans="1:29" s="8" customFormat="1" x14ac:dyDescent="0.25">
      <c r="A180" s="261">
        <v>171</v>
      </c>
      <c r="B180" s="117">
        <v>44285</v>
      </c>
      <c r="C180" s="41" t="s">
        <v>11</v>
      </c>
      <c r="D180" s="117">
        <v>44285</v>
      </c>
      <c r="E180" s="138" t="s">
        <v>739</v>
      </c>
      <c r="F180" s="118"/>
      <c r="G180" s="40" t="s">
        <v>126</v>
      </c>
      <c r="H180" s="120"/>
      <c r="I180" s="120"/>
      <c r="J180" s="120">
        <f>+'INVENTARIO ABRIL-JUNIO 2021'!$H180-'INVENTARIO ABRIL-JUNIO 2021'!$I180</f>
        <v>0</v>
      </c>
      <c r="K180" s="120"/>
      <c r="L180" s="120">
        <v>10</v>
      </c>
      <c r="M180" s="120"/>
      <c r="N180" s="120"/>
      <c r="O180" s="121"/>
      <c r="P180" s="120"/>
      <c r="Q180" s="120"/>
      <c r="R180" s="120"/>
      <c r="S180" s="120"/>
      <c r="T180" s="120"/>
      <c r="U180" s="121">
        <f>+Tabla1[[#This Row],[STOCK    FISICO ENERO 2021]]-Tabla1[[#This Row],[REQUISICIONES FEBRERO 2021]]</f>
        <v>0</v>
      </c>
      <c r="V180" s="121">
        <f>+Tabla1[[#This Row],[STOCK  FEBRERO 2021]]-Tabla1[[#This Row],[REQUISICIONES MARZO 2021]]+Tabla1[[#This Row],[ENTRADAS MARZO 2021]]</f>
        <v>10</v>
      </c>
      <c r="W180" s="121">
        <f>+Tabla1[[#This Row],[STOCK MARZO 2021]]-Tabla1[[#This Row],[REQUISICIONES ABRIL 2021]]+Tabla1[[#This Row],[ENTRADAS ABRIL 2021]]</f>
        <v>10</v>
      </c>
      <c r="X180" s="121">
        <f>+Tabla1[[#This Row],[STOCK ABRIL 2021]]-Tabla1[[#This Row],[REQUISICIONES MAYO 2021]]+Tabla1[[#This Row],[ENTRADAS MAYO 2021]]</f>
        <v>10</v>
      </c>
      <c r="Y180" s="121">
        <f>+Tabla1[[#This Row],[STOCK MAYO 2021]]-Tabla1[[#This Row],[REQUISICIONES JUNIO 2021]]+Tabla1[[#This Row],[ENTRADAS JUNIO 2021]]</f>
        <v>10</v>
      </c>
      <c r="Z180" s="40" t="s">
        <v>125</v>
      </c>
      <c r="AA180" s="45">
        <v>409.99</v>
      </c>
      <c r="AB180" s="93">
        <f t="shared" si="4"/>
        <v>483.78820000000002</v>
      </c>
      <c r="AC180" s="93">
        <f>Tabla1[[#This Row],[STOCK JUNIO ]]*Tabla1[[#This Row],[COSTO UNITARIO SIN ITBIS]]</f>
        <v>4099.8999999999996</v>
      </c>
    </row>
    <row r="181" spans="1:29" s="8" customFormat="1" x14ac:dyDescent="0.25">
      <c r="A181" s="261">
        <v>172</v>
      </c>
      <c r="B181" s="42">
        <v>43108</v>
      </c>
      <c r="C181" s="41" t="s">
        <v>11</v>
      </c>
      <c r="D181" s="42">
        <v>43108</v>
      </c>
      <c r="E181" s="139"/>
      <c r="F181" s="43">
        <v>1195</v>
      </c>
      <c r="G181" s="40" t="s">
        <v>127</v>
      </c>
      <c r="H181" s="40">
        <v>3</v>
      </c>
      <c r="I181" s="40"/>
      <c r="J181" s="40">
        <f>+'INVENTARIO ABRIL-JUNIO 2021'!$H181-'INVENTARIO ABRIL-JUNIO 2021'!$I181</f>
        <v>3</v>
      </c>
      <c r="K181" s="40"/>
      <c r="L181" s="40"/>
      <c r="M181" s="40"/>
      <c r="N181" s="40"/>
      <c r="O181" s="168"/>
      <c r="P181" s="40"/>
      <c r="Q181" s="40"/>
      <c r="R181" s="40">
        <v>1</v>
      </c>
      <c r="S181" s="40"/>
      <c r="T181" s="40"/>
      <c r="U181" s="40">
        <f>+Tabla1[[#This Row],[STOCK    FISICO ENERO 2021]]-Tabla1[[#This Row],[REQUISICIONES FEBRERO 2021]]</f>
        <v>3</v>
      </c>
      <c r="V181" s="40">
        <f>+Tabla1[[#This Row],[STOCK  FEBRERO 2021]]-Tabla1[[#This Row],[REQUISICIONES MARZO 2021]]+Tabla1[[#This Row],[ENTRADAS MARZO 2021]]</f>
        <v>3</v>
      </c>
      <c r="W181" s="40">
        <f>+Tabla1[[#This Row],[STOCK MARZO 2021]]-Tabla1[[#This Row],[REQUISICIONES ABRIL 2021]]+Tabla1[[#This Row],[ENTRADAS ABRIL 2021]]</f>
        <v>2</v>
      </c>
      <c r="X181" s="40">
        <f>+Tabla1[[#This Row],[STOCK ABRIL 2021]]-Tabla1[[#This Row],[REQUISICIONES MAYO 2021]]+Tabla1[[#This Row],[ENTRADAS MAYO 2021]]</f>
        <v>2</v>
      </c>
      <c r="Y181" s="40">
        <f>+Tabla1[[#This Row],[STOCK MAYO 2021]]-Tabla1[[#This Row],[REQUISICIONES JUNIO 2021]]+Tabla1[[#This Row],[ENTRADAS JUNIO 2021]]</f>
        <v>2</v>
      </c>
      <c r="Z181" s="40" t="s">
        <v>125</v>
      </c>
      <c r="AA181" s="45">
        <v>409.99</v>
      </c>
      <c r="AB181" s="35">
        <f t="shared" si="4"/>
        <v>483.78820000000002</v>
      </c>
      <c r="AC181" s="93">
        <f>Tabla1[[#This Row],[STOCK JUNIO ]]*Tabla1[[#This Row],[COSTO UNITARIO SIN ITBIS]]</f>
        <v>819.98</v>
      </c>
    </row>
    <row r="182" spans="1:29" s="8" customFormat="1" x14ac:dyDescent="0.25">
      <c r="A182" s="261">
        <v>173</v>
      </c>
      <c r="B182" s="117">
        <v>44285</v>
      </c>
      <c r="C182" s="41" t="s">
        <v>11</v>
      </c>
      <c r="D182" s="117">
        <v>44285</v>
      </c>
      <c r="E182" s="138" t="s">
        <v>739</v>
      </c>
      <c r="F182" s="118"/>
      <c r="G182" s="40" t="s">
        <v>127</v>
      </c>
      <c r="H182" s="120"/>
      <c r="I182" s="120"/>
      <c r="J182" s="120">
        <f>+'INVENTARIO ABRIL-JUNIO 2021'!$H182-'INVENTARIO ABRIL-JUNIO 2021'!$I182</f>
        <v>0</v>
      </c>
      <c r="K182" s="120"/>
      <c r="L182" s="120">
        <v>10</v>
      </c>
      <c r="M182" s="120"/>
      <c r="N182" s="120"/>
      <c r="O182" s="121"/>
      <c r="P182" s="120"/>
      <c r="Q182" s="120"/>
      <c r="R182" s="120"/>
      <c r="S182" s="120"/>
      <c r="T182" s="120"/>
      <c r="U182" s="121">
        <f>+Tabla1[[#This Row],[STOCK    FISICO ENERO 2021]]-Tabla1[[#This Row],[REQUISICIONES FEBRERO 2021]]</f>
        <v>0</v>
      </c>
      <c r="V182" s="121">
        <f>+Tabla1[[#This Row],[STOCK  FEBRERO 2021]]-Tabla1[[#This Row],[REQUISICIONES MARZO 2021]]+Tabla1[[#This Row],[ENTRADAS MARZO 2021]]</f>
        <v>10</v>
      </c>
      <c r="W182" s="121">
        <f>+Tabla1[[#This Row],[STOCK MARZO 2021]]-Tabla1[[#This Row],[REQUISICIONES ABRIL 2021]]+Tabla1[[#This Row],[ENTRADAS ABRIL 2021]]</f>
        <v>10</v>
      </c>
      <c r="X182" s="121">
        <f>+Tabla1[[#This Row],[STOCK ABRIL 2021]]-Tabla1[[#This Row],[REQUISICIONES MAYO 2021]]+Tabla1[[#This Row],[ENTRADAS MAYO 2021]]</f>
        <v>10</v>
      </c>
      <c r="Y182" s="121">
        <f>+Tabla1[[#This Row],[STOCK MAYO 2021]]-Tabla1[[#This Row],[REQUISICIONES JUNIO 2021]]+Tabla1[[#This Row],[ENTRADAS JUNIO 2021]]</f>
        <v>10</v>
      </c>
      <c r="Z182" s="40" t="s">
        <v>125</v>
      </c>
      <c r="AA182" s="122">
        <v>450</v>
      </c>
      <c r="AB182" s="93">
        <f t="shared" si="4"/>
        <v>531</v>
      </c>
      <c r="AC182" s="93">
        <f>Tabla1[[#This Row],[STOCK JUNIO ]]*Tabla1[[#This Row],[COSTO UNITARIO SIN ITBIS]]</f>
        <v>4500</v>
      </c>
    </row>
    <row r="183" spans="1:29" s="8" customFormat="1" x14ac:dyDescent="0.25">
      <c r="A183" s="261">
        <v>174</v>
      </c>
      <c r="B183" s="42">
        <v>43108</v>
      </c>
      <c r="C183" s="41" t="s">
        <v>11</v>
      </c>
      <c r="D183" s="42">
        <v>43108</v>
      </c>
      <c r="E183" s="139"/>
      <c r="F183" s="43">
        <v>1197</v>
      </c>
      <c r="G183" s="40" t="s">
        <v>128</v>
      </c>
      <c r="H183" s="40">
        <v>5</v>
      </c>
      <c r="I183" s="40"/>
      <c r="J183" s="40">
        <f>+'INVENTARIO ABRIL-JUNIO 2021'!$H183-'INVENTARIO ABRIL-JUNIO 2021'!$I183</f>
        <v>5</v>
      </c>
      <c r="K183" s="40"/>
      <c r="L183" s="40"/>
      <c r="M183" s="40"/>
      <c r="N183" s="40"/>
      <c r="O183" s="168"/>
      <c r="P183" s="40"/>
      <c r="Q183" s="40"/>
      <c r="R183" s="40">
        <v>1</v>
      </c>
      <c r="S183" s="40"/>
      <c r="T183" s="40"/>
      <c r="U183" s="40">
        <f>+Tabla1[[#This Row],[STOCK    FISICO ENERO 2021]]-Tabla1[[#This Row],[REQUISICIONES FEBRERO 2021]]</f>
        <v>5</v>
      </c>
      <c r="V183" s="40">
        <f>+Tabla1[[#This Row],[STOCK  FEBRERO 2021]]-Tabla1[[#This Row],[REQUISICIONES MARZO 2021]]+Tabla1[[#This Row],[ENTRADAS MARZO 2021]]</f>
        <v>5</v>
      </c>
      <c r="W183" s="40">
        <f>+Tabla1[[#This Row],[STOCK MARZO 2021]]-Tabla1[[#This Row],[REQUISICIONES ABRIL 2021]]+Tabla1[[#This Row],[ENTRADAS ABRIL 2021]]</f>
        <v>4</v>
      </c>
      <c r="X183" s="40">
        <f>+Tabla1[[#This Row],[STOCK ABRIL 2021]]-Tabla1[[#This Row],[REQUISICIONES MAYO 2021]]+Tabla1[[#This Row],[ENTRADAS MAYO 2021]]</f>
        <v>4</v>
      </c>
      <c r="Y183" s="40">
        <f>+Tabla1[[#This Row],[STOCK MAYO 2021]]-Tabla1[[#This Row],[REQUISICIONES JUNIO 2021]]+Tabla1[[#This Row],[ENTRADAS JUNIO 2021]]</f>
        <v>4</v>
      </c>
      <c r="Z183" s="40" t="s">
        <v>125</v>
      </c>
      <c r="AA183" s="45">
        <v>795</v>
      </c>
      <c r="AB183" s="35">
        <f t="shared" si="4"/>
        <v>938.1</v>
      </c>
      <c r="AC183" s="93">
        <f>Tabla1[[#This Row],[STOCK JUNIO ]]*Tabla1[[#This Row],[COSTO UNITARIO SIN ITBIS]]</f>
        <v>3180</v>
      </c>
    </row>
    <row r="184" spans="1:29" s="8" customFormat="1" x14ac:dyDescent="0.25">
      <c r="A184" s="261">
        <v>175</v>
      </c>
      <c r="B184" s="117">
        <v>44285</v>
      </c>
      <c r="C184" s="41" t="s">
        <v>11</v>
      </c>
      <c r="D184" s="117">
        <v>44285</v>
      </c>
      <c r="E184" s="138" t="s">
        <v>739</v>
      </c>
      <c r="F184" s="118"/>
      <c r="G184" s="40" t="s">
        <v>128</v>
      </c>
      <c r="H184" s="120"/>
      <c r="I184" s="120"/>
      <c r="J184" s="120">
        <f>+'INVENTARIO ABRIL-JUNIO 2021'!$H184-'INVENTARIO ABRIL-JUNIO 2021'!$I184</f>
        <v>0</v>
      </c>
      <c r="K184" s="120"/>
      <c r="L184" s="120">
        <v>10</v>
      </c>
      <c r="M184" s="120"/>
      <c r="N184" s="120"/>
      <c r="O184" s="121"/>
      <c r="P184" s="120"/>
      <c r="Q184" s="120"/>
      <c r="R184" s="120"/>
      <c r="S184" s="120"/>
      <c r="T184" s="120"/>
      <c r="U184" s="121">
        <f>+Tabla1[[#This Row],[STOCK    FISICO ENERO 2021]]-Tabla1[[#This Row],[REQUISICIONES FEBRERO 2021]]</f>
        <v>0</v>
      </c>
      <c r="V184" s="121">
        <f>+Tabla1[[#This Row],[STOCK  FEBRERO 2021]]-Tabla1[[#This Row],[REQUISICIONES MARZO 2021]]+Tabla1[[#This Row],[ENTRADAS MARZO 2021]]</f>
        <v>10</v>
      </c>
      <c r="W184" s="121">
        <f>+Tabla1[[#This Row],[STOCK MARZO 2021]]-Tabla1[[#This Row],[REQUISICIONES ABRIL 2021]]+Tabla1[[#This Row],[ENTRADAS ABRIL 2021]]</f>
        <v>10</v>
      </c>
      <c r="X184" s="121">
        <f>+Tabla1[[#This Row],[STOCK ABRIL 2021]]-Tabla1[[#This Row],[REQUISICIONES MAYO 2021]]+Tabla1[[#This Row],[ENTRADAS MAYO 2021]]</f>
        <v>10</v>
      </c>
      <c r="Y184" s="121">
        <f>+Tabla1[[#This Row],[STOCK MAYO 2021]]-Tabla1[[#This Row],[REQUISICIONES JUNIO 2021]]+Tabla1[[#This Row],[ENTRADAS JUNIO 2021]]</f>
        <v>10</v>
      </c>
      <c r="Z184" s="40" t="s">
        <v>125</v>
      </c>
      <c r="AA184" s="122">
        <v>450</v>
      </c>
      <c r="AB184" s="93">
        <f t="shared" si="4"/>
        <v>531</v>
      </c>
      <c r="AC184" s="93">
        <f>Tabla1[[#This Row],[STOCK JUNIO ]]*Tabla1[[#This Row],[COSTO UNITARIO SIN ITBIS]]</f>
        <v>4500</v>
      </c>
    </row>
    <row r="185" spans="1:29" s="8" customFormat="1" x14ac:dyDescent="0.25">
      <c r="A185" s="261">
        <v>176</v>
      </c>
      <c r="B185" s="117">
        <v>44285</v>
      </c>
      <c r="C185" s="41" t="s">
        <v>11</v>
      </c>
      <c r="D185" s="117">
        <v>44285</v>
      </c>
      <c r="E185" s="138" t="s">
        <v>739</v>
      </c>
      <c r="F185" s="118"/>
      <c r="G185" s="119" t="s">
        <v>751</v>
      </c>
      <c r="H185" s="120"/>
      <c r="I185" s="120"/>
      <c r="J185" s="120">
        <f>+'INVENTARIO ABRIL-JUNIO 2021'!$H185-'INVENTARIO ABRIL-JUNIO 2021'!$I185</f>
        <v>0</v>
      </c>
      <c r="K185" s="120"/>
      <c r="L185" s="120">
        <v>5</v>
      </c>
      <c r="M185" s="120"/>
      <c r="N185" s="120"/>
      <c r="O185" s="121"/>
      <c r="P185" s="120"/>
      <c r="Q185" s="120"/>
      <c r="R185" s="120"/>
      <c r="S185" s="120"/>
      <c r="T185" s="120"/>
      <c r="U185" s="121">
        <f>+Tabla1[[#This Row],[STOCK    FISICO ENERO 2021]]-Tabla1[[#This Row],[REQUISICIONES FEBRERO 2021]]</f>
        <v>0</v>
      </c>
      <c r="V185" s="121">
        <f>+Tabla1[[#This Row],[STOCK  FEBRERO 2021]]-Tabla1[[#This Row],[REQUISICIONES MARZO 2021]]+Tabla1[[#This Row],[ENTRADAS MARZO 2021]]</f>
        <v>5</v>
      </c>
      <c r="W185" s="121">
        <f>+Tabla1[[#This Row],[STOCK MARZO 2021]]-Tabla1[[#This Row],[REQUISICIONES ABRIL 2021]]+Tabla1[[#This Row],[ENTRADAS ABRIL 2021]]</f>
        <v>5</v>
      </c>
      <c r="X185" s="121">
        <f>+Tabla1[[#This Row],[STOCK ABRIL 2021]]-Tabla1[[#This Row],[REQUISICIONES MAYO 2021]]+Tabla1[[#This Row],[ENTRADAS MAYO 2021]]</f>
        <v>5</v>
      </c>
      <c r="Y185" s="121">
        <f>+Tabla1[[#This Row],[STOCK MAYO 2021]]-Tabla1[[#This Row],[REQUISICIONES JUNIO 2021]]+Tabla1[[#This Row],[ENTRADAS JUNIO 2021]]</f>
        <v>5</v>
      </c>
      <c r="Z185" s="40" t="s">
        <v>125</v>
      </c>
      <c r="AA185" s="122">
        <v>1727.37</v>
      </c>
      <c r="AB185" s="93">
        <f t="shared" si="4"/>
        <v>2038.2965999999999</v>
      </c>
      <c r="AC185" s="93">
        <f>Tabla1[[#This Row],[STOCK JUNIO ]]*Tabla1[[#This Row],[COSTO UNITARIO SIN ITBIS]]</f>
        <v>8636.8499999999985</v>
      </c>
    </row>
    <row r="186" spans="1:29" s="8" customFormat="1" x14ac:dyDescent="0.25">
      <c r="A186" s="261">
        <v>177</v>
      </c>
      <c r="B186" s="42"/>
      <c r="C186" s="41" t="s">
        <v>11</v>
      </c>
      <c r="D186" s="42"/>
      <c r="E186" s="139"/>
      <c r="F186" s="44" t="s">
        <v>20</v>
      </c>
      <c r="G186" s="40" t="s">
        <v>129</v>
      </c>
      <c r="H186" s="40">
        <v>7</v>
      </c>
      <c r="I186" s="40"/>
      <c r="J186" s="40">
        <f>+'INVENTARIO ABRIL-JUNIO 2021'!$H186-'INVENTARIO ABRIL-JUNIO 2021'!$I186</f>
        <v>7</v>
      </c>
      <c r="K186" s="40"/>
      <c r="L186" s="40"/>
      <c r="M186" s="40"/>
      <c r="N186" s="40"/>
      <c r="O186" s="168"/>
      <c r="P186" s="40">
        <v>2</v>
      </c>
      <c r="Q186" s="40">
        <f>1+1</f>
        <v>2</v>
      </c>
      <c r="R186" s="40">
        <f>1+1+1</f>
        <v>3</v>
      </c>
      <c r="S186" s="40"/>
      <c r="T186" s="40"/>
      <c r="U186" s="40">
        <f>+Tabla1[[#This Row],[STOCK    FISICO ENERO 2021]]-Tabla1[[#This Row],[REQUISICIONES FEBRERO 2021]]</f>
        <v>5</v>
      </c>
      <c r="V186" s="40">
        <f>+Tabla1[[#This Row],[STOCK  FEBRERO 2021]]-Tabla1[[#This Row],[REQUISICIONES MARZO 2021]]+Tabla1[[#This Row],[ENTRADAS MARZO 2021]]</f>
        <v>3</v>
      </c>
      <c r="W186" s="40">
        <f>+Tabla1[[#This Row],[STOCK MARZO 2021]]-Tabla1[[#This Row],[REQUISICIONES ABRIL 2021]]+Tabla1[[#This Row],[ENTRADAS ABRIL 2021]]</f>
        <v>0</v>
      </c>
      <c r="X186" s="40">
        <f>+Tabla1[[#This Row],[STOCK ABRIL 2021]]-Tabla1[[#This Row],[REQUISICIONES MAYO 2021]]+Tabla1[[#This Row],[ENTRADAS MAYO 2021]]</f>
        <v>0</v>
      </c>
      <c r="Y186" s="40">
        <f>+Tabla1[[#This Row],[STOCK MAYO 2021]]-Tabla1[[#This Row],[REQUISICIONES JUNIO 2021]]+Tabla1[[#This Row],[ENTRADAS JUNIO 2021]]</f>
        <v>0</v>
      </c>
      <c r="Z186" s="40" t="s">
        <v>125</v>
      </c>
      <c r="AA186" s="45">
        <v>20</v>
      </c>
      <c r="AB186" s="35">
        <f t="shared" si="4"/>
        <v>23.6</v>
      </c>
      <c r="AC186" s="93">
        <f>Tabla1[[#This Row],[STOCK JUNIO ]]*Tabla1[[#This Row],[COSTO UNITARIO SIN ITBIS]]</f>
        <v>0</v>
      </c>
    </row>
    <row r="187" spans="1:29" s="8" customFormat="1" x14ac:dyDescent="0.25">
      <c r="A187" s="261">
        <v>178</v>
      </c>
      <c r="B187" s="42"/>
      <c r="C187" s="41" t="s">
        <v>11</v>
      </c>
      <c r="D187" s="42"/>
      <c r="E187" s="139"/>
      <c r="F187" s="44" t="s">
        <v>20</v>
      </c>
      <c r="G187" s="40" t="s">
        <v>130</v>
      </c>
      <c r="H187" s="40">
        <v>9</v>
      </c>
      <c r="I187" s="40"/>
      <c r="J187" s="40">
        <f>+'INVENTARIO ABRIL-JUNIO 2021'!$H187-'INVENTARIO ABRIL-JUNIO 2021'!$I187</f>
        <v>9</v>
      </c>
      <c r="K187" s="40"/>
      <c r="L187" s="40"/>
      <c r="M187" s="40"/>
      <c r="N187" s="40"/>
      <c r="O187" s="168"/>
      <c r="P187" s="40"/>
      <c r="Q187" s="40"/>
      <c r="R187" s="40"/>
      <c r="S187" s="40"/>
      <c r="T187" s="40"/>
      <c r="U187" s="40">
        <f>+Tabla1[[#This Row],[STOCK    FISICO ENERO 2021]]-Tabla1[[#This Row],[REQUISICIONES FEBRERO 2021]]</f>
        <v>9</v>
      </c>
      <c r="V187" s="40">
        <f>+Tabla1[[#This Row],[STOCK  FEBRERO 2021]]-Tabla1[[#This Row],[REQUISICIONES MARZO 2021]]+Tabla1[[#This Row],[ENTRADAS MARZO 2021]]</f>
        <v>9</v>
      </c>
      <c r="W187" s="40">
        <f>+Tabla1[[#This Row],[STOCK MARZO 2021]]-Tabla1[[#This Row],[REQUISICIONES ABRIL 2021]]+Tabla1[[#This Row],[ENTRADAS ABRIL 2021]]</f>
        <v>9</v>
      </c>
      <c r="X187" s="40">
        <f>+Tabla1[[#This Row],[STOCK ABRIL 2021]]-Tabla1[[#This Row],[REQUISICIONES MAYO 2021]]+Tabla1[[#This Row],[ENTRADAS MAYO 2021]]</f>
        <v>9</v>
      </c>
      <c r="Y187" s="40">
        <f>+Tabla1[[#This Row],[STOCK MAYO 2021]]-Tabla1[[#This Row],[REQUISICIONES JUNIO 2021]]+Tabla1[[#This Row],[ENTRADAS JUNIO 2021]]</f>
        <v>9</v>
      </c>
      <c r="Z187" s="40" t="s">
        <v>125</v>
      </c>
      <c r="AA187" s="45">
        <v>20</v>
      </c>
      <c r="AB187" s="35">
        <f t="shared" si="4"/>
        <v>23.6</v>
      </c>
      <c r="AC187" s="93">
        <f>Tabla1[[#This Row],[STOCK JUNIO ]]*Tabla1[[#This Row],[COSTO UNITARIO SIN ITBIS]]</f>
        <v>180</v>
      </c>
    </row>
    <row r="188" spans="1:29" s="8" customFormat="1" x14ac:dyDescent="0.25">
      <c r="A188" s="261">
        <v>179</v>
      </c>
      <c r="B188" s="42"/>
      <c r="C188" s="41" t="s">
        <v>11</v>
      </c>
      <c r="D188" s="42"/>
      <c r="E188" s="139"/>
      <c r="F188" s="44" t="s">
        <v>20</v>
      </c>
      <c r="G188" s="40" t="s">
        <v>131</v>
      </c>
      <c r="H188" s="40">
        <v>10</v>
      </c>
      <c r="I188" s="40"/>
      <c r="J188" s="40">
        <f>+'INVENTARIO ABRIL-JUNIO 2021'!$H188-'INVENTARIO ABRIL-JUNIO 2021'!$I188</f>
        <v>10</v>
      </c>
      <c r="K188" s="40"/>
      <c r="L188" s="40"/>
      <c r="M188" s="40"/>
      <c r="N188" s="40"/>
      <c r="O188" s="168"/>
      <c r="P188" s="40"/>
      <c r="Q188" s="40"/>
      <c r="R188" s="40"/>
      <c r="S188" s="40"/>
      <c r="T188" s="40"/>
      <c r="U188" s="40">
        <f>+Tabla1[[#This Row],[STOCK    FISICO ENERO 2021]]-Tabla1[[#This Row],[REQUISICIONES FEBRERO 2021]]</f>
        <v>10</v>
      </c>
      <c r="V188" s="40">
        <f>+Tabla1[[#This Row],[STOCK  FEBRERO 2021]]-Tabla1[[#This Row],[REQUISICIONES MARZO 2021]]+Tabla1[[#This Row],[ENTRADAS MARZO 2021]]</f>
        <v>10</v>
      </c>
      <c r="W188" s="40">
        <f>+Tabla1[[#This Row],[STOCK MARZO 2021]]-Tabla1[[#This Row],[REQUISICIONES ABRIL 2021]]+Tabla1[[#This Row],[ENTRADAS ABRIL 2021]]</f>
        <v>10</v>
      </c>
      <c r="X188" s="40">
        <f>+Tabla1[[#This Row],[STOCK ABRIL 2021]]-Tabla1[[#This Row],[REQUISICIONES MAYO 2021]]+Tabla1[[#This Row],[ENTRADAS MAYO 2021]]</f>
        <v>10</v>
      </c>
      <c r="Y188" s="40">
        <f>+Tabla1[[#This Row],[STOCK MAYO 2021]]-Tabla1[[#This Row],[REQUISICIONES JUNIO 2021]]+Tabla1[[#This Row],[ENTRADAS JUNIO 2021]]</f>
        <v>10</v>
      </c>
      <c r="Z188" s="40" t="s">
        <v>125</v>
      </c>
      <c r="AA188" s="45">
        <v>20</v>
      </c>
      <c r="AB188" s="35">
        <f t="shared" si="4"/>
        <v>23.6</v>
      </c>
      <c r="AC188" s="93">
        <f>Tabla1[[#This Row],[STOCK JUNIO ]]*Tabla1[[#This Row],[COSTO UNITARIO SIN ITBIS]]</f>
        <v>200</v>
      </c>
    </row>
    <row r="189" spans="1:29" s="8" customFormat="1" x14ac:dyDescent="0.25">
      <c r="A189" s="261">
        <v>180</v>
      </c>
      <c r="B189" s="42">
        <v>44109</v>
      </c>
      <c r="C189" s="41" t="s">
        <v>11</v>
      </c>
      <c r="D189" s="42">
        <v>44109</v>
      </c>
      <c r="E189" s="139"/>
      <c r="F189" s="43">
        <v>1194</v>
      </c>
      <c r="G189" s="40" t="s">
        <v>132</v>
      </c>
      <c r="H189" s="40">
        <v>10</v>
      </c>
      <c r="I189" s="40"/>
      <c r="J189" s="40">
        <f>+'INVENTARIO ABRIL-JUNIO 2021'!$H189-'INVENTARIO ABRIL-JUNIO 2021'!$I189</f>
        <v>10</v>
      </c>
      <c r="K189" s="40"/>
      <c r="L189" s="40"/>
      <c r="M189" s="40"/>
      <c r="N189" s="40"/>
      <c r="O189" s="168"/>
      <c r="P189" s="40"/>
      <c r="Q189" s="40"/>
      <c r="R189" s="40"/>
      <c r="S189" s="40"/>
      <c r="T189" s="40">
        <v>1</v>
      </c>
      <c r="U189" s="40">
        <f>+Tabla1[[#This Row],[STOCK    FISICO ENERO 2021]]-Tabla1[[#This Row],[REQUISICIONES FEBRERO 2021]]</f>
        <v>10</v>
      </c>
      <c r="V189" s="40">
        <f>+Tabla1[[#This Row],[STOCK  FEBRERO 2021]]-Tabla1[[#This Row],[REQUISICIONES MARZO 2021]]+Tabla1[[#This Row],[ENTRADAS MARZO 2021]]</f>
        <v>10</v>
      </c>
      <c r="W189" s="40">
        <f>+Tabla1[[#This Row],[STOCK MARZO 2021]]-Tabla1[[#This Row],[REQUISICIONES ABRIL 2021]]+Tabla1[[#This Row],[ENTRADAS ABRIL 2021]]</f>
        <v>10</v>
      </c>
      <c r="X189" s="40">
        <f>+Tabla1[[#This Row],[STOCK ABRIL 2021]]-Tabla1[[#This Row],[REQUISICIONES MAYO 2021]]+Tabla1[[#This Row],[ENTRADAS MAYO 2021]]</f>
        <v>10</v>
      </c>
      <c r="Y189" s="40">
        <f>+Tabla1[[#This Row],[STOCK MAYO 2021]]-Tabla1[[#This Row],[REQUISICIONES JUNIO 2021]]+Tabla1[[#This Row],[ENTRADAS JUNIO 2021]]</f>
        <v>9</v>
      </c>
      <c r="Z189" s="40" t="s">
        <v>125</v>
      </c>
      <c r="AA189" s="45">
        <v>70</v>
      </c>
      <c r="AB189" s="35">
        <f t="shared" si="4"/>
        <v>82.6</v>
      </c>
      <c r="AC189" s="93">
        <f>Tabla1[[#This Row],[STOCK JUNIO ]]*Tabla1[[#This Row],[COSTO UNITARIO SIN ITBIS]]</f>
        <v>630</v>
      </c>
    </row>
    <row r="190" spans="1:29" s="8" customFormat="1" x14ac:dyDescent="0.25">
      <c r="A190" s="261">
        <v>181</v>
      </c>
      <c r="B190" s="31">
        <v>43397</v>
      </c>
      <c r="C190" s="41" t="s">
        <v>11</v>
      </c>
      <c r="D190" s="31">
        <v>43397</v>
      </c>
      <c r="E190" s="137"/>
      <c r="F190" s="28">
        <v>1271</v>
      </c>
      <c r="G190" s="38" t="s">
        <v>133</v>
      </c>
      <c r="H190" s="33">
        <v>9</v>
      </c>
      <c r="I190" s="33">
        <v>3</v>
      </c>
      <c r="J190" s="33">
        <f>+'INVENTARIO ABRIL-JUNIO 2021'!$H190-'INVENTARIO ABRIL-JUNIO 2021'!$I190</f>
        <v>6</v>
      </c>
      <c r="K190" s="33"/>
      <c r="L190" s="33"/>
      <c r="M190" s="33"/>
      <c r="N190" s="33"/>
      <c r="O190" s="167"/>
      <c r="P190" s="33"/>
      <c r="Q190" s="33"/>
      <c r="R190" s="33">
        <v>2</v>
      </c>
      <c r="S190" s="33">
        <v>1</v>
      </c>
      <c r="T190" s="33">
        <v>1</v>
      </c>
      <c r="U190" s="33">
        <f>+Tabla1[[#This Row],[STOCK    FISICO ENERO 2021]]-Tabla1[[#This Row],[REQUISICIONES FEBRERO 2021]]</f>
        <v>6</v>
      </c>
      <c r="V190" s="33">
        <f>+Tabla1[[#This Row],[STOCK  FEBRERO 2021]]-Tabla1[[#This Row],[REQUISICIONES MARZO 2021]]+Tabla1[[#This Row],[ENTRADAS MARZO 2021]]</f>
        <v>6</v>
      </c>
      <c r="W190" s="33">
        <f>+Tabla1[[#This Row],[STOCK MARZO 2021]]-Tabla1[[#This Row],[REQUISICIONES ABRIL 2021]]+Tabla1[[#This Row],[ENTRADAS ABRIL 2021]]</f>
        <v>4</v>
      </c>
      <c r="X190" s="33">
        <f>+Tabla1[[#This Row],[STOCK ABRIL 2021]]-Tabla1[[#This Row],[REQUISICIONES MAYO 2021]]+Tabla1[[#This Row],[ENTRADAS MAYO 2021]]</f>
        <v>3</v>
      </c>
      <c r="Y190" s="33">
        <f>+Tabla1[[#This Row],[STOCK MAYO 2021]]-Tabla1[[#This Row],[REQUISICIONES JUNIO 2021]]+Tabla1[[#This Row],[ENTRADAS JUNIO 2021]]</f>
        <v>2</v>
      </c>
      <c r="Z190" s="30" t="s">
        <v>12</v>
      </c>
      <c r="AA190" s="34">
        <v>860</v>
      </c>
      <c r="AB190" s="35">
        <f t="shared" ref="AB190" si="5">AA190*0.18+AA190</f>
        <v>1014.8</v>
      </c>
      <c r="AC190" s="93">
        <f>Tabla1[[#This Row],[STOCK JUNIO ]]*Tabla1[[#This Row],[COSTO UNITARIO SIN ITBIS]]</f>
        <v>1720</v>
      </c>
    </row>
    <row r="191" spans="1:29" s="8" customFormat="1" x14ac:dyDescent="0.25">
      <c r="A191" s="261">
        <v>182</v>
      </c>
      <c r="B191" s="31">
        <v>44284</v>
      </c>
      <c r="C191" s="41" t="s">
        <v>11</v>
      </c>
      <c r="D191" s="31">
        <v>44281</v>
      </c>
      <c r="E191" s="137" t="s">
        <v>774</v>
      </c>
      <c r="F191" s="28"/>
      <c r="G191" s="38" t="s">
        <v>133</v>
      </c>
      <c r="H191" s="33">
        <v>9</v>
      </c>
      <c r="I191" s="33">
        <v>3</v>
      </c>
      <c r="J191" s="120">
        <f>+'INVENTARIO ABRIL-JUNIO 2021'!$H191-'INVENTARIO ABRIL-JUNIO 2021'!$I191-6</f>
        <v>0</v>
      </c>
      <c r="K191" s="33"/>
      <c r="L191" s="33">
        <v>11</v>
      </c>
      <c r="M191" s="33"/>
      <c r="N191" s="33"/>
      <c r="O191" s="167"/>
      <c r="P191" s="33"/>
      <c r="Q191" s="33"/>
      <c r="R191" s="33"/>
      <c r="S191" s="33"/>
      <c r="T191" s="33"/>
      <c r="U191" s="33">
        <f>+Tabla1[[#This Row],[STOCK    FISICO ENERO 2021]]-Tabla1[[#This Row],[REQUISICIONES FEBRERO 2021]]</f>
        <v>0</v>
      </c>
      <c r="V191" s="33">
        <f>+Tabla1[[#This Row],[STOCK  FEBRERO 2021]]-Tabla1[[#This Row],[REQUISICIONES MARZO 2021]]+Tabla1[[#This Row],[ENTRADAS MARZO 2021]]</f>
        <v>11</v>
      </c>
      <c r="W191" s="33">
        <f>+Tabla1[[#This Row],[STOCK MARZO 2021]]-Tabla1[[#This Row],[REQUISICIONES ABRIL 2021]]+Tabla1[[#This Row],[ENTRADAS ABRIL 2021]]</f>
        <v>11</v>
      </c>
      <c r="X191" s="33">
        <f>+Tabla1[[#This Row],[STOCK ABRIL 2021]]-Tabla1[[#This Row],[REQUISICIONES MAYO 2021]]+Tabla1[[#This Row],[ENTRADAS MAYO 2021]]</f>
        <v>11</v>
      </c>
      <c r="Y191" s="33">
        <f>+Tabla1[[#This Row],[STOCK MAYO 2021]]-Tabla1[[#This Row],[REQUISICIONES JUNIO 2021]]+Tabla1[[#This Row],[ENTRADAS JUNIO 2021]]</f>
        <v>11</v>
      </c>
      <c r="Z191" s="30" t="s">
        <v>12</v>
      </c>
      <c r="AA191" s="34">
        <v>200</v>
      </c>
      <c r="AB191" s="35">
        <f t="shared" si="4"/>
        <v>236</v>
      </c>
      <c r="AC191" s="93">
        <f>Tabla1[[#This Row],[STOCK JUNIO ]]*Tabla1[[#This Row],[COSTO UNITARIO SIN ITBIS]]</f>
        <v>2200</v>
      </c>
    </row>
    <row r="192" spans="1:29" s="8" customFormat="1" x14ac:dyDescent="0.25">
      <c r="A192" s="261">
        <v>183</v>
      </c>
      <c r="B192" s="117">
        <v>44286</v>
      </c>
      <c r="C192" s="41" t="s">
        <v>11</v>
      </c>
      <c r="D192" s="117">
        <v>44286</v>
      </c>
      <c r="E192" s="138" t="s">
        <v>755</v>
      </c>
      <c r="F192" s="118"/>
      <c r="G192" s="38" t="s">
        <v>763</v>
      </c>
      <c r="H192" s="120"/>
      <c r="I192" s="120"/>
      <c r="J192" s="120">
        <f>+'INVENTARIO ABRIL-JUNIO 2021'!$H192-'INVENTARIO ABRIL-JUNIO 2021'!$I192</f>
        <v>0</v>
      </c>
      <c r="K192" s="120"/>
      <c r="L192" s="120">
        <v>24</v>
      </c>
      <c r="M192" s="120"/>
      <c r="N192" s="120"/>
      <c r="O192" s="121"/>
      <c r="P192" s="120"/>
      <c r="Q192" s="120"/>
      <c r="R192" s="120"/>
      <c r="S192" s="120"/>
      <c r="T192" s="120"/>
      <c r="U192" s="121">
        <f>+Tabla1[[#This Row],[STOCK    FISICO ENERO 2021]]-Tabla1[[#This Row],[REQUISICIONES FEBRERO 2021]]</f>
        <v>0</v>
      </c>
      <c r="V192" s="121">
        <f>+Tabla1[[#This Row],[STOCK  FEBRERO 2021]]-Tabla1[[#This Row],[REQUISICIONES MARZO 2021]]+Tabla1[[#This Row],[ENTRADAS MARZO 2021]]</f>
        <v>24</v>
      </c>
      <c r="W192" s="121">
        <f>+Tabla1[[#This Row],[STOCK MARZO 2021]]-Tabla1[[#This Row],[REQUISICIONES ABRIL 2021]]+Tabla1[[#This Row],[ENTRADAS ABRIL 2021]]</f>
        <v>24</v>
      </c>
      <c r="X192" s="121">
        <f>+Tabla1[[#This Row],[STOCK ABRIL 2021]]-Tabla1[[#This Row],[REQUISICIONES MAYO 2021]]+Tabla1[[#This Row],[ENTRADAS MAYO 2021]]</f>
        <v>24</v>
      </c>
      <c r="Y192" s="121">
        <f>+Tabla1[[#This Row],[STOCK MAYO 2021]]-Tabla1[[#This Row],[REQUISICIONES JUNIO 2021]]+Tabla1[[#This Row],[ENTRADAS JUNIO 2021]]</f>
        <v>24</v>
      </c>
      <c r="Z192" s="30" t="s">
        <v>12</v>
      </c>
      <c r="AA192" s="122">
        <v>250</v>
      </c>
      <c r="AB192" s="93">
        <f t="shared" si="4"/>
        <v>295</v>
      </c>
      <c r="AC192" s="93">
        <f>Tabla1[[#This Row],[STOCK JUNIO ]]*Tabla1[[#This Row],[COSTO UNITARIO SIN ITBIS]]</f>
        <v>6000</v>
      </c>
    </row>
    <row r="193" spans="1:29" s="8" customFormat="1" ht="24.75" thickBot="1" x14ac:dyDescent="0.3">
      <c r="A193" s="57"/>
      <c r="B193" s="56"/>
      <c r="C193" s="56"/>
      <c r="D193" s="56"/>
      <c r="E193" s="141"/>
      <c r="F193" s="56"/>
      <c r="G193" s="56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6"/>
      <c r="AA193" s="58"/>
      <c r="AB193" s="58" t="s">
        <v>707</v>
      </c>
      <c r="AC193" s="95">
        <f>+SUM(AC10:AC191)</f>
        <v>1556398.5545999995</v>
      </c>
    </row>
    <row r="194" spans="1:29" s="8" customFormat="1" ht="15.75" thickTop="1" x14ac:dyDescent="0.25">
      <c r="A194" s="262" t="s">
        <v>135</v>
      </c>
      <c r="B194" s="61"/>
      <c r="C194" s="61"/>
      <c r="D194" s="61"/>
      <c r="E194" s="96"/>
      <c r="F194" s="61"/>
      <c r="G194" s="61"/>
      <c r="H194" s="61"/>
      <c r="I194" s="61"/>
      <c r="J194" s="61"/>
      <c r="K194" s="61"/>
      <c r="L194" s="61"/>
      <c r="M194" s="61"/>
      <c r="N194" s="61"/>
      <c r="O194" s="262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96"/>
    </row>
    <row r="195" spans="1:29" x14ac:dyDescent="0.25">
      <c r="A195" s="221">
        <v>1</v>
      </c>
      <c r="B195" s="42">
        <v>44235</v>
      </c>
      <c r="C195" s="34" t="s">
        <v>11</v>
      </c>
      <c r="D195" s="42">
        <v>44235</v>
      </c>
      <c r="E195" s="139"/>
      <c r="F195" s="51">
        <v>1013</v>
      </c>
      <c r="G195" s="48" t="s">
        <v>136</v>
      </c>
      <c r="H195" s="62">
        <f>27+97+4</f>
        <v>128</v>
      </c>
      <c r="I195" s="62">
        <f>10+8+10+1+5+6+15</f>
        <v>55</v>
      </c>
      <c r="J195" s="62">
        <f>+'INVENTARIO ABRIL-JUNIO 2021'!$H195-'INVENTARIO ABRIL-JUNIO 2021'!$I195+13</f>
        <v>86</v>
      </c>
      <c r="K195" s="62">
        <v>600</v>
      </c>
      <c r="L195" s="62"/>
      <c r="M195" s="62"/>
      <c r="N195" s="62"/>
      <c r="O195" s="185"/>
      <c r="P195" s="62">
        <f>5+20+50+5+1+15+5+5+20+5+15+5+3+5+15+10</f>
        <v>184</v>
      </c>
      <c r="Q195" s="62">
        <f>5+20+5+5+15+20+5+1+1+5+20+50+5+15+2+20+20+5+7+5+20+20+5+2</f>
        <v>278</v>
      </c>
      <c r="R195" s="62">
        <f>5+20+4+20+5+3+5+20+5+7+5+20+42+1+3+5+20+2+1+5+8+5</f>
        <v>211</v>
      </c>
      <c r="S195" s="62"/>
      <c r="T195" s="62"/>
      <c r="U195" s="62">
        <f>+Tabla1[[#This Row],[STOCK    FISICO ENERO 2021]]-Tabla1[[#This Row],[REQUISICIONES FEBRERO 2021]]+600</f>
        <v>502</v>
      </c>
      <c r="V195" s="62">
        <f>+Tabla1[[#This Row],[STOCK  FEBRERO 2021]]-Tabla1[[#This Row],[REQUISICIONES MARZO 2021]]+Tabla1[[#This Row],[ENTRADAS MARZO 2021]]</f>
        <v>224</v>
      </c>
      <c r="W195" s="62">
        <f>+Tabla1[[#This Row],[STOCK MARZO 2021]]-Tabla1[[#This Row],[REQUISICIONES ABRIL 2021]]+Tabla1[[#This Row],[ENTRADAS ABRIL 2021]]</f>
        <v>13</v>
      </c>
      <c r="X195" s="62">
        <f>+Tabla1[[#This Row],[STOCK ABRIL 2021]]-Tabla1[[#This Row],[REQUISICIONES MAYO 2021]]+Tabla1[[#This Row],[ENTRADAS MAYO 2021]]</f>
        <v>13</v>
      </c>
      <c r="Y195" s="62">
        <f>+Tabla1[[#This Row],[STOCK MAYO 2021]]-Tabla1[[#This Row],[REQUISICIONES JUNIO 2021]]+Tabla1[[#This Row],[ENTRADAS JUNIO 2021]]</f>
        <v>13</v>
      </c>
      <c r="Z195" s="48" t="s">
        <v>137</v>
      </c>
      <c r="AA195" s="52">
        <v>115</v>
      </c>
      <c r="AB195" s="39">
        <f t="shared" ref="AB195:AB237" si="6">AA195*0.18+AA195</f>
        <v>135.69999999999999</v>
      </c>
      <c r="AC195" s="94">
        <f>Tabla1[[#This Row],[STOCK JUNIO ]]*Tabla1[[#This Row],[COSTO UNITARIO SIN ITBIS]]</f>
        <v>1495</v>
      </c>
    </row>
    <row r="196" spans="1:29" x14ac:dyDescent="0.25">
      <c r="A196" s="263">
        <v>2</v>
      </c>
      <c r="B196" s="117">
        <v>44312</v>
      </c>
      <c r="C196" s="34" t="s">
        <v>11</v>
      </c>
      <c r="D196" s="117">
        <v>44308</v>
      </c>
      <c r="E196" s="158" t="s">
        <v>832</v>
      </c>
      <c r="F196" s="166"/>
      <c r="G196" s="48" t="s">
        <v>136</v>
      </c>
      <c r="H196" s="120"/>
      <c r="I196" s="120"/>
      <c r="J196" s="120">
        <f>+'INVENTARIO ABRIL-JUNIO 2021'!$H196-'INVENTARIO ABRIL-JUNIO 2021'!$I196</f>
        <v>0</v>
      </c>
      <c r="K196" s="120"/>
      <c r="L196" s="120"/>
      <c r="M196" s="120">
        <f>100+200</f>
        <v>300</v>
      </c>
      <c r="N196" s="120"/>
      <c r="O196" s="121"/>
      <c r="P196" s="120"/>
      <c r="Q196" s="120"/>
      <c r="R196" s="120">
        <f>11+5</f>
        <v>16</v>
      </c>
      <c r="S196" s="120">
        <f>20+2+15+5+20+1+1+5+5+2+20+25+22+5+5+12+20+5+2+20+5+8+15+2+5+20+5+10+2</f>
        <v>284</v>
      </c>
      <c r="T196" s="120"/>
      <c r="U196" s="121">
        <f>+Tabla1[[#This Row],[STOCK    FISICO ENERO 2021]]-Tabla1[[#This Row],[REQUISICIONES FEBRERO 2021]]</f>
        <v>0</v>
      </c>
      <c r="V196" s="121">
        <f>+Tabla1[[#This Row],[STOCK  FEBRERO 2021]]-Tabla1[[#This Row],[REQUISICIONES MARZO 2021]]+Tabla1[[#This Row],[ENTRADAS MARZO 2021]]</f>
        <v>0</v>
      </c>
      <c r="W196" s="185">
        <f>+Tabla1[[#This Row],[STOCK MARZO 2021]]-Tabla1[[#This Row],[REQUISICIONES ABRIL 2021]]+Tabla1[[#This Row],[ENTRADAS ABRIL 2021]]</f>
        <v>284</v>
      </c>
      <c r="X196" s="185">
        <f>+Tabla1[[#This Row],[STOCK ABRIL 2021]]-Tabla1[[#This Row],[REQUISICIONES MAYO 2021]]+Tabla1[[#This Row],[ENTRADAS MAYO 2021]]</f>
        <v>0</v>
      </c>
      <c r="Y196" s="185">
        <f>+Tabla1[[#This Row],[STOCK MAYO 2021]]-Tabla1[[#This Row],[REQUISICIONES JUNIO 2021]]+Tabla1[[#This Row],[ENTRADAS JUNIO 2021]]</f>
        <v>0</v>
      </c>
      <c r="Z196" s="48" t="s">
        <v>137</v>
      </c>
      <c r="AA196" s="122">
        <v>115</v>
      </c>
      <c r="AB196" s="39">
        <f t="shared" si="6"/>
        <v>135.69999999999999</v>
      </c>
      <c r="AC196" s="94">
        <f>Tabla1[[#This Row],[STOCK JUNIO ]]*Tabla1[[#This Row],[COSTO UNITARIO SIN ITBIS]]</f>
        <v>0</v>
      </c>
    </row>
    <row r="197" spans="1:29" x14ac:dyDescent="0.25">
      <c r="A197" s="221">
        <v>3</v>
      </c>
      <c r="B197" s="243">
        <v>44377</v>
      </c>
      <c r="C197" s="34" t="s">
        <v>11</v>
      </c>
      <c r="D197" s="243">
        <v>44363</v>
      </c>
      <c r="E197" s="158" t="s">
        <v>832</v>
      </c>
      <c r="F197" s="244"/>
      <c r="G197" s="48" t="s">
        <v>136</v>
      </c>
      <c r="H197" s="245"/>
      <c r="I197" s="245"/>
      <c r="J197" s="245">
        <f>+'INVENTARIO ABRIL-JUNIO 2021'!$H197-'INVENTARIO ABRIL-JUNIO 2021'!$I197</f>
        <v>0</v>
      </c>
      <c r="K197" s="245"/>
      <c r="L197" s="245"/>
      <c r="M197" s="245"/>
      <c r="N197" s="246"/>
      <c r="O197" s="247">
        <f>30+270+200+200</f>
        <v>700</v>
      </c>
      <c r="P197" s="245"/>
      <c r="Q197" s="245"/>
      <c r="R197" s="245"/>
      <c r="S197" s="245"/>
      <c r="T197" s="245">
        <f>10+10+3+2+25+25+25+24+5+5+5+20+2+5+20+20+5+25+9+20+5+25+25+5+5+20+5+20+5+16+15+5+118+8</f>
        <v>542</v>
      </c>
      <c r="U197" s="247">
        <f>+Tabla1[[#This Row],[STOCK    FISICO ENERO 2021]]-Tabla1[[#This Row],[REQUISICIONES FEBRERO 2021]]</f>
        <v>0</v>
      </c>
      <c r="V197" s="247">
        <f>+Tabla1[[#This Row],[STOCK  FEBRERO 2021]]-Tabla1[[#This Row],[REQUISICIONES MARZO 2021]]+Tabla1[[#This Row],[ENTRADAS MARZO 2021]]</f>
        <v>0</v>
      </c>
      <c r="W197" s="185">
        <f>+Tabla1[[#This Row],[STOCK MARZO 2021]]-Tabla1[[#This Row],[REQUISICIONES ABRIL 2021]]+Tabla1[[#This Row],[ENTRADAS ABRIL 2021]]</f>
        <v>0</v>
      </c>
      <c r="X197" s="185">
        <f>+Tabla1[[#This Row],[STOCK ABRIL 2021]]-Tabla1[[#This Row],[REQUISICIONES MAYO 2021]]+Tabla1[[#This Row],[ENTRADAS MAYO 2021]]</f>
        <v>0</v>
      </c>
      <c r="Y197" s="185">
        <f>+Tabla1[[#This Row],[STOCK MAYO 2021]]-Tabla1[[#This Row],[REQUISICIONES JUNIO 2021]]+Tabla1[[#This Row],[ENTRADAS JUNIO 2021]]</f>
        <v>158</v>
      </c>
      <c r="Z197" s="48" t="s">
        <v>137</v>
      </c>
      <c r="AA197" s="248">
        <v>115</v>
      </c>
      <c r="AB197" s="39">
        <f t="shared" si="6"/>
        <v>135.69999999999999</v>
      </c>
      <c r="AC197" s="94">
        <f>Tabla1[[#This Row],[STOCK JUNIO ]]*Tabla1[[#This Row],[COSTO UNITARIO SIN ITBIS]]</f>
        <v>18170</v>
      </c>
    </row>
    <row r="198" spans="1:29" s="10" customFormat="1" x14ac:dyDescent="0.25">
      <c r="A198" s="263">
        <v>4</v>
      </c>
      <c r="B198" s="42">
        <v>43556</v>
      </c>
      <c r="C198" s="34" t="s">
        <v>11</v>
      </c>
      <c r="D198" s="42">
        <v>43748</v>
      </c>
      <c r="E198" s="139"/>
      <c r="F198" s="51">
        <v>1252</v>
      </c>
      <c r="G198" s="48" t="s">
        <v>138</v>
      </c>
      <c r="H198" s="62">
        <v>202</v>
      </c>
      <c r="I198" s="62">
        <f>2+16+3+4</f>
        <v>25</v>
      </c>
      <c r="J198" s="62">
        <f>+'INVENTARIO ABRIL-JUNIO 2021'!$H198-'INVENTARIO ABRIL-JUNIO 2021'!$I198</f>
        <v>177</v>
      </c>
      <c r="K198" s="62"/>
      <c r="L198" s="62"/>
      <c r="M198" s="62"/>
      <c r="N198" s="62"/>
      <c r="O198" s="185"/>
      <c r="P198" s="62">
        <f>3+10+9+3+5</f>
        <v>30</v>
      </c>
      <c r="Q198" s="62">
        <f>4+3+2+2+3</f>
        <v>14</v>
      </c>
      <c r="R198" s="62">
        <f>4+14+3+3+1+3+3</f>
        <v>31</v>
      </c>
      <c r="S198" s="62">
        <f>4+2+2+3+2+6+4</f>
        <v>23</v>
      </c>
      <c r="T198" s="62">
        <f>15+30+10+6+9+6+3</f>
        <v>79</v>
      </c>
      <c r="U198" s="62">
        <f>+Tabla1[[#This Row],[STOCK    FISICO ENERO 2021]]-Tabla1[[#This Row],[REQUISICIONES FEBRERO 2021]]</f>
        <v>147</v>
      </c>
      <c r="V198" s="62">
        <f>+Tabla1[[#This Row],[STOCK  FEBRERO 2021]]-Tabla1[[#This Row],[REQUISICIONES MARZO 2021]]+Tabla1[[#This Row],[ENTRADAS MARZO 2021]]</f>
        <v>133</v>
      </c>
      <c r="W198" s="62">
        <f>+Tabla1[[#This Row],[STOCK MARZO 2021]]-Tabla1[[#This Row],[REQUISICIONES ABRIL 2021]]+Tabla1[[#This Row],[ENTRADAS ABRIL 2021]]</f>
        <v>102</v>
      </c>
      <c r="X198" s="62">
        <f>+Tabla1[[#This Row],[STOCK ABRIL 2021]]-Tabla1[[#This Row],[REQUISICIONES MAYO 2021]]+Tabla1[[#This Row],[ENTRADAS MAYO 2021]]</f>
        <v>79</v>
      </c>
      <c r="Y198" s="62">
        <f>+Tabla1[[#This Row],[STOCK MAYO 2021]]-Tabla1[[#This Row],[REQUISICIONES JUNIO 2021]]+Tabla1[[#This Row],[ENTRADAS JUNIO 2021]]</f>
        <v>0</v>
      </c>
      <c r="Z198" s="48" t="s">
        <v>139</v>
      </c>
      <c r="AA198" s="52">
        <v>161.24</v>
      </c>
      <c r="AB198" s="39">
        <f t="shared" si="6"/>
        <v>190.26320000000001</v>
      </c>
      <c r="AC198" s="94">
        <f>Tabla1[[#This Row],[STOCK JUNIO ]]*Tabla1[[#This Row],[COSTO UNITARIO SIN ITBIS]]</f>
        <v>0</v>
      </c>
    </row>
    <row r="199" spans="1:29" ht="16.5" customHeight="1" x14ac:dyDescent="0.25">
      <c r="A199" s="221">
        <v>5</v>
      </c>
      <c r="B199" s="42">
        <v>43556</v>
      </c>
      <c r="C199" s="34" t="s">
        <v>11</v>
      </c>
      <c r="D199" s="42">
        <v>43748</v>
      </c>
      <c r="E199" s="139"/>
      <c r="F199" s="51">
        <v>1253</v>
      </c>
      <c r="G199" s="48" t="s">
        <v>140</v>
      </c>
      <c r="H199" s="62">
        <v>150</v>
      </c>
      <c r="I199" s="62">
        <f>3+14+3+2+1+4</f>
        <v>27</v>
      </c>
      <c r="J199" s="62">
        <f>+'INVENTARIO ABRIL-JUNIO 2021'!$H199-'INVENTARIO ABRIL-JUNIO 2021'!$I199</f>
        <v>123</v>
      </c>
      <c r="K199" s="62"/>
      <c r="L199" s="62"/>
      <c r="M199" s="62"/>
      <c r="N199" s="62"/>
      <c r="O199" s="185"/>
      <c r="P199" s="62">
        <f>2+5+1+3+9+3+2+5</f>
        <v>30</v>
      </c>
      <c r="Q199" s="62">
        <f>4+2+4+2+2+2+2+3</f>
        <v>21</v>
      </c>
      <c r="R199" s="62">
        <f>4+14+5+3+2+3+2+2+1</f>
        <v>36</v>
      </c>
      <c r="S199" s="62">
        <f>4+2+2+2+3+2+2+4</f>
        <v>21</v>
      </c>
      <c r="T199" s="62">
        <f>2+5+1+2+5</f>
        <v>15</v>
      </c>
      <c r="U199" s="62">
        <f>+Tabla1[[#This Row],[STOCK    FISICO ENERO 2021]]-Tabla1[[#This Row],[REQUISICIONES FEBRERO 2021]]</f>
        <v>93</v>
      </c>
      <c r="V199" s="62">
        <f>+Tabla1[[#This Row],[STOCK  FEBRERO 2021]]-Tabla1[[#This Row],[REQUISICIONES MARZO 2021]]+Tabla1[[#This Row],[ENTRADAS MARZO 2021]]</f>
        <v>72</v>
      </c>
      <c r="W199" s="62">
        <f>+Tabla1[[#This Row],[STOCK MARZO 2021]]-Tabla1[[#This Row],[REQUISICIONES ABRIL 2021]]+Tabla1[[#This Row],[ENTRADAS ABRIL 2021]]</f>
        <v>36</v>
      </c>
      <c r="X199" s="62">
        <f>+Tabla1[[#This Row],[STOCK ABRIL 2021]]-Tabla1[[#This Row],[REQUISICIONES MAYO 2021]]+Tabla1[[#This Row],[ENTRADAS MAYO 2021]]</f>
        <v>15</v>
      </c>
      <c r="Y199" s="62">
        <f>+Tabla1[[#This Row],[STOCK MAYO 2021]]-Tabla1[[#This Row],[REQUISICIONES JUNIO 2021]]+Tabla1[[#This Row],[ENTRADAS JUNIO 2021]]</f>
        <v>0</v>
      </c>
      <c r="Z199" s="48" t="s">
        <v>139</v>
      </c>
      <c r="AA199" s="52">
        <v>135.72</v>
      </c>
      <c r="AB199" s="39">
        <f t="shared" si="6"/>
        <v>160.14959999999999</v>
      </c>
      <c r="AC199" s="94">
        <f>Tabla1[[#This Row],[STOCK JUNIO ]]*Tabla1[[#This Row],[COSTO UNITARIO SIN ITBIS]]</f>
        <v>0</v>
      </c>
    </row>
    <row r="200" spans="1:29" ht="16.5" customHeight="1" x14ac:dyDescent="0.25">
      <c r="A200" s="263">
        <v>6</v>
      </c>
      <c r="B200" s="279">
        <v>44364</v>
      </c>
      <c r="C200" s="34" t="s">
        <v>11</v>
      </c>
      <c r="D200" s="243">
        <v>44364</v>
      </c>
      <c r="E200" s="249" t="s">
        <v>918</v>
      </c>
      <c r="F200" s="322"/>
      <c r="G200" s="48" t="s">
        <v>138</v>
      </c>
      <c r="H200" s="245"/>
      <c r="I200" s="245"/>
      <c r="J200" s="245">
        <f>+'INVENTARIO ABRIL-JUNIO 2021'!$H200-'INVENTARIO ABRIL-JUNIO 2021'!$I200</f>
        <v>0</v>
      </c>
      <c r="K200" s="245"/>
      <c r="L200" s="245"/>
      <c r="M200" s="245"/>
      <c r="N200" s="246"/>
      <c r="O200" s="247">
        <f>20*8</f>
        <v>160</v>
      </c>
      <c r="P200" s="245"/>
      <c r="Q200" s="245"/>
      <c r="R200" s="245"/>
      <c r="S200" s="245"/>
      <c r="T200" s="245">
        <f>5+5+2+2+10+6+4+4+2+10</f>
        <v>50</v>
      </c>
      <c r="U200" s="247">
        <f>+Tabla1[[#This Row],[STOCK    FISICO ENERO 2021]]-Tabla1[[#This Row],[REQUISICIONES FEBRERO 2021]]</f>
        <v>0</v>
      </c>
      <c r="V200" s="247">
        <f>+Tabla1[[#This Row],[STOCK  FEBRERO 2021]]-Tabla1[[#This Row],[REQUISICIONES MARZO 2021]]+Tabla1[[#This Row],[ENTRADAS MARZO 2021]]</f>
        <v>0</v>
      </c>
      <c r="W200" s="185">
        <f>+Tabla1[[#This Row],[STOCK MARZO 2021]]-Tabla1[[#This Row],[REQUISICIONES ABRIL 2021]]+Tabla1[[#This Row],[ENTRADAS ABRIL 2021]]</f>
        <v>0</v>
      </c>
      <c r="X200" s="185">
        <f>+Tabla1[[#This Row],[STOCK ABRIL 2021]]-Tabla1[[#This Row],[REQUISICIONES MAYO 2021]]+Tabla1[[#This Row],[ENTRADAS MAYO 2021]]</f>
        <v>0</v>
      </c>
      <c r="Y200" s="185">
        <f>+Tabla1[[#This Row],[STOCK MAYO 2021]]-Tabla1[[#This Row],[REQUISICIONES JUNIO 2021]]+Tabla1[[#This Row],[ENTRADAS JUNIO 2021]]</f>
        <v>110</v>
      </c>
      <c r="Z200" s="48" t="s">
        <v>139</v>
      </c>
      <c r="AA200" s="122">
        <v>144.19999999999999</v>
      </c>
      <c r="AB200" s="39">
        <f t="shared" si="6"/>
        <v>170.15599999999998</v>
      </c>
      <c r="AC200" s="94">
        <f>Tabla1[[#This Row],[STOCK JUNIO ]]*Tabla1[[#This Row],[COSTO UNITARIO SIN ITBIS]]</f>
        <v>15861.999999999998</v>
      </c>
    </row>
    <row r="201" spans="1:29" ht="16.5" customHeight="1" x14ac:dyDescent="0.25">
      <c r="A201" s="221">
        <v>7</v>
      </c>
      <c r="B201" s="279">
        <v>44364</v>
      </c>
      <c r="C201" s="34" t="s">
        <v>11</v>
      </c>
      <c r="D201" s="243">
        <v>44364</v>
      </c>
      <c r="E201" s="249" t="s">
        <v>918</v>
      </c>
      <c r="F201" s="322"/>
      <c r="G201" s="48" t="s">
        <v>140</v>
      </c>
      <c r="H201" s="245"/>
      <c r="I201" s="245"/>
      <c r="J201" s="245">
        <f>+'INVENTARIO ABRIL-JUNIO 2021'!$H201-'INVENTARIO ABRIL-JUNIO 2021'!$I201</f>
        <v>0</v>
      </c>
      <c r="K201" s="245"/>
      <c r="L201" s="245"/>
      <c r="M201" s="245"/>
      <c r="N201" s="246"/>
      <c r="O201" s="247">
        <f>20*8</f>
        <v>160</v>
      </c>
      <c r="P201" s="245"/>
      <c r="Q201" s="245"/>
      <c r="R201" s="245"/>
      <c r="S201" s="245"/>
      <c r="T201" s="245">
        <f>4+2+2+2+4+1+2+9</f>
        <v>26</v>
      </c>
      <c r="U201" s="247">
        <f>+Tabla1[[#This Row],[STOCK    FISICO ENERO 2021]]-Tabla1[[#This Row],[REQUISICIONES FEBRERO 2021]]</f>
        <v>0</v>
      </c>
      <c r="V201" s="247">
        <f>+Tabla1[[#This Row],[STOCK  FEBRERO 2021]]-Tabla1[[#This Row],[REQUISICIONES MARZO 2021]]+Tabla1[[#This Row],[ENTRADAS MARZO 2021]]</f>
        <v>0</v>
      </c>
      <c r="W201" s="185">
        <f>+Tabla1[[#This Row],[STOCK MARZO 2021]]-Tabla1[[#This Row],[REQUISICIONES ABRIL 2021]]+Tabla1[[#This Row],[ENTRADAS ABRIL 2021]]</f>
        <v>0</v>
      </c>
      <c r="X201" s="185">
        <f>+Tabla1[[#This Row],[STOCK ABRIL 2021]]-Tabla1[[#This Row],[REQUISICIONES MAYO 2021]]+Tabla1[[#This Row],[ENTRADAS MAYO 2021]]</f>
        <v>0</v>
      </c>
      <c r="Y201" s="185">
        <f>+Tabla1[[#This Row],[STOCK MAYO 2021]]-Tabla1[[#This Row],[REQUISICIONES JUNIO 2021]]+Tabla1[[#This Row],[ENTRADAS JUNIO 2021]]</f>
        <v>134</v>
      </c>
      <c r="Z201" s="48" t="s">
        <v>139</v>
      </c>
      <c r="AA201" s="122">
        <v>121.51</v>
      </c>
      <c r="AB201" s="39">
        <f t="shared" si="6"/>
        <v>143.3818</v>
      </c>
      <c r="AC201" s="94">
        <f>Tabla1[[#This Row],[STOCK JUNIO ]]*Tabla1[[#This Row],[COSTO UNITARIO SIN ITBIS]]</f>
        <v>16282.34</v>
      </c>
    </row>
    <row r="202" spans="1:29" s="10" customFormat="1" x14ac:dyDescent="0.25">
      <c r="A202" s="263">
        <v>8</v>
      </c>
      <c r="B202" s="42">
        <v>43634</v>
      </c>
      <c r="C202" s="34" t="s">
        <v>11</v>
      </c>
      <c r="D202" s="42">
        <v>43686</v>
      </c>
      <c r="E202" s="139"/>
      <c r="F202" s="51">
        <v>1255</v>
      </c>
      <c r="G202" s="48" t="s">
        <v>141</v>
      </c>
      <c r="H202" s="62">
        <v>5</v>
      </c>
      <c r="I202" s="62">
        <f>1+1</f>
        <v>2</v>
      </c>
      <c r="J202" s="62">
        <f>+'INVENTARIO ABRIL-JUNIO 2021'!$H202-'INVENTARIO ABRIL-JUNIO 2021'!$I202</f>
        <v>3</v>
      </c>
      <c r="K202" s="62"/>
      <c r="L202" s="62"/>
      <c r="M202" s="62"/>
      <c r="N202" s="62"/>
      <c r="O202" s="185"/>
      <c r="P202" s="62">
        <v>1</v>
      </c>
      <c r="Q202" s="62"/>
      <c r="R202" s="62">
        <v>1</v>
      </c>
      <c r="S202" s="62"/>
      <c r="T202" s="62"/>
      <c r="U202" s="62">
        <f>+Tabla1[[#This Row],[STOCK    FISICO ENERO 2021]]-Tabla1[[#This Row],[REQUISICIONES FEBRERO 2021]]</f>
        <v>2</v>
      </c>
      <c r="V202" s="62">
        <f>+Tabla1[[#This Row],[STOCK  FEBRERO 2021]]-Tabla1[[#This Row],[REQUISICIONES MARZO 2021]]+Tabla1[[#This Row],[ENTRADAS MARZO 2021]]</f>
        <v>2</v>
      </c>
      <c r="W202" s="62">
        <f>+Tabla1[[#This Row],[STOCK MARZO 2021]]-Tabla1[[#This Row],[REQUISICIONES ABRIL 2021]]+Tabla1[[#This Row],[ENTRADAS ABRIL 2021]]</f>
        <v>1</v>
      </c>
      <c r="X202" s="62">
        <f>+Tabla1[[#This Row],[STOCK ABRIL 2021]]-Tabla1[[#This Row],[REQUISICIONES MAYO 2021]]+Tabla1[[#This Row],[ENTRADAS MAYO 2021]]</f>
        <v>1</v>
      </c>
      <c r="Y202" s="62">
        <f>+Tabla1[[#This Row],[STOCK MAYO 2021]]-Tabla1[[#This Row],[REQUISICIONES JUNIO 2021]]+Tabla1[[#This Row],[ENTRADAS JUNIO 2021]]</f>
        <v>1</v>
      </c>
      <c r="Z202" s="48" t="s">
        <v>142</v>
      </c>
      <c r="AA202" s="52">
        <v>796.5</v>
      </c>
      <c r="AB202" s="39">
        <f t="shared" si="6"/>
        <v>939.87</v>
      </c>
      <c r="AC202" s="94">
        <f>Tabla1[[#This Row],[STOCK JUNIO ]]*Tabla1[[#This Row],[COSTO UNITARIO SIN ITBIS]]</f>
        <v>796.5</v>
      </c>
    </row>
    <row r="203" spans="1:29" s="12" customFormat="1" x14ac:dyDescent="0.25">
      <c r="A203" s="221">
        <v>9</v>
      </c>
      <c r="B203" s="42">
        <v>44106</v>
      </c>
      <c r="C203" s="34" t="s">
        <v>11</v>
      </c>
      <c r="D203" s="42">
        <v>44106</v>
      </c>
      <c r="E203" s="139"/>
      <c r="F203" s="51">
        <v>1256</v>
      </c>
      <c r="G203" s="64" t="s">
        <v>143</v>
      </c>
      <c r="H203" s="62">
        <v>25</v>
      </c>
      <c r="I203" s="62"/>
      <c r="J203" s="62">
        <f>+'INVENTARIO ABRIL-JUNIO 2021'!$H203-'INVENTARIO ABRIL-JUNIO 2021'!$I203+3</f>
        <v>28</v>
      </c>
      <c r="K203" s="62"/>
      <c r="L203" s="62"/>
      <c r="M203" s="62"/>
      <c r="N203" s="62"/>
      <c r="O203" s="185"/>
      <c r="P203" s="62">
        <v>1</v>
      </c>
      <c r="Q203" s="62"/>
      <c r="R203" s="62"/>
      <c r="S203" s="62">
        <f>1+1</f>
        <v>2</v>
      </c>
      <c r="T203" s="62">
        <v>1</v>
      </c>
      <c r="U203" s="62">
        <f>+Tabla1[[#This Row],[STOCK    FISICO ENERO 2021]]-Tabla1[[#This Row],[REQUISICIONES FEBRERO 2021]]</f>
        <v>27</v>
      </c>
      <c r="V203" s="62">
        <f>+Tabla1[[#This Row],[STOCK  FEBRERO 2021]]-Tabla1[[#This Row],[REQUISICIONES MARZO 2021]]+Tabla1[[#This Row],[ENTRADAS MARZO 2021]]</f>
        <v>27</v>
      </c>
      <c r="W203" s="62">
        <f>+Tabla1[[#This Row],[STOCK MARZO 2021]]-Tabla1[[#This Row],[REQUISICIONES ABRIL 2021]]+Tabla1[[#This Row],[ENTRADAS ABRIL 2021]]</f>
        <v>27</v>
      </c>
      <c r="X203" s="62">
        <f>+Tabla1[[#This Row],[STOCK ABRIL 2021]]-Tabla1[[#This Row],[REQUISICIONES MAYO 2021]]+Tabla1[[#This Row],[ENTRADAS MAYO 2021]]</f>
        <v>25</v>
      </c>
      <c r="Y203" s="62">
        <f>+Tabla1[[#This Row],[STOCK MAYO 2021]]-Tabla1[[#This Row],[REQUISICIONES JUNIO 2021]]+Tabla1[[#This Row],[ENTRADAS JUNIO 2021]]</f>
        <v>24</v>
      </c>
      <c r="Z203" s="64" t="s">
        <v>144</v>
      </c>
      <c r="AA203" s="52">
        <v>1260</v>
      </c>
      <c r="AB203" s="39">
        <f t="shared" si="6"/>
        <v>1486.8</v>
      </c>
      <c r="AC203" s="94">
        <f>Tabla1[[#This Row],[STOCK JUNIO ]]*Tabla1[[#This Row],[COSTO UNITARIO SIN ITBIS]]</f>
        <v>30240</v>
      </c>
    </row>
    <row r="204" spans="1:29" s="10" customFormat="1" x14ac:dyDescent="0.25">
      <c r="A204" s="263">
        <v>10</v>
      </c>
      <c r="B204" s="42">
        <v>44119</v>
      </c>
      <c r="C204" s="34" t="s">
        <v>11</v>
      </c>
      <c r="D204" s="42">
        <v>44119</v>
      </c>
      <c r="E204" s="139"/>
      <c r="F204" s="51"/>
      <c r="G204" s="48" t="s">
        <v>145</v>
      </c>
      <c r="H204" s="62">
        <v>15</v>
      </c>
      <c r="I204" s="62"/>
      <c r="J204" s="62">
        <f>+'INVENTARIO ABRIL-JUNIO 2021'!$H204-'INVENTARIO ABRIL-JUNIO 2021'!$I204</f>
        <v>15</v>
      </c>
      <c r="K204" s="62"/>
      <c r="L204" s="62"/>
      <c r="M204" s="62"/>
      <c r="N204" s="62"/>
      <c r="O204" s="185"/>
      <c r="P204" s="62">
        <f>1+1</f>
        <v>2</v>
      </c>
      <c r="Q204" s="62">
        <v>1</v>
      </c>
      <c r="R204" s="62"/>
      <c r="S204" s="62">
        <v>1</v>
      </c>
      <c r="T204" s="62"/>
      <c r="U204" s="62">
        <f>+Tabla1[[#This Row],[STOCK    FISICO ENERO 2021]]-Tabla1[[#This Row],[REQUISICIONES FEBRERO 2021]]</f>
        <v>13</v>
      </c>
      <c r="V204" s="62">
        <f>+Tabla1[[#This Row],[STOCK  FEBRERO 2021]]-Tabla1[[#This Row],[REQUISICIONES MARZO 2021]]+Tabla1[[#This Row],[ENTRADAS MARZO 2021]]</f>
        <v>12</v>
      </c>
      <c r="W204" s="62">
        <f>+Tabla1[[#This Row],[STOCK MARZO 2021]]-Tabla1[[#This Row],[REQUISICIONES ABRIL 2021]]+Tabla1[[#This Row],[ENTRADAS ABRIL 2021]]</f>
        <v>12</v>
      </c>
      <c r="X204" s="62">
        <f>+Tabla1[[#This Row],[STOCK ABRIL 2021]]-Tabla1[[#This Row],[REQUISICIONES MAYO 2021]]+Tabla1[[#This Row],[ENTRADAS MAYO 2021]]</f>
        <v>11</v>
      </c>
      <c r="Y204" s="62">
        <f>+Tabla1[[#This Row],[STOCK MAYO 2021]]-Tabla1[[#This Row],[REQUISICIONES JUNIO 2021]]+Tabla1[[#This Row],[ENTRADAS JUNIO 2021]]</f>
        <v>11</v>
      </c>
      <c r="Z204" s="48" t="s">
        <v>146</v>
      </c>
      <c r="AA204" s="52">
        <v>575</v>
      </c>
      <c r="AB204" s="39">
        <f t="shared" si="6"/>
        <v>678.5</v>
      </c>
      <c r="AC204" s="94">
        <f>Tabla1[[#This Row],[STOCK JUNIO ]]*Tabla1[[#This Row],[COSTO UNITARIO SIN ITBIS]]</f>
        <v>6325</v>
      </c>
    </row>
    <row r="205" spans="1:29" s="10" customFormat="1" x14ac:dyDescent="0.25">
      <c r="A205" s="221">
        <v>11</v>
      </c>
      <c r="B205" s="279">
        <v>44364</v>
      </c>
      <c r="C205" s="34" t="s">
        <v>11</v>
      </c>
      <c r="D205" s="243">
        <v>44364</v>
      </c>
      <c r="E205" s="249" t="s">
        <v>918</v>
      </c>
      <c r="F205" s="322"/>
      <c r="G205" s="48" t="s">
        <v>145</v>
      </c>
      <c r="H205" s="245"/>
      <c r="I205" s="245"/>
      <c r="J205" s="245">
        <f>+'INVENTARIO ABRIL-JUNIO 2021'!$H205-'INVENTARIO ABRIL-JUNIO 2021'!$I205</f>
        <v>0</v>
      </c>
      <c r="K205" s="245"/>
      <c r="L205" s="245"/>
      <c r="M205" s="245"/>
      <c r="N205" s="246"/>
      <c r="O205" s="247">
        <v>2</v>
      </c>
      <c r="P205" s="245"/>
      <c r="Q205" s="245"/>
      <c r="R205" s="245"/>
      <c r="S205" s="245"/>
      <c r="T205" s="245"/>
      <c r="U205" s="247">
        <f>+Tabla1[[#This Row],[STOCK    FISICO ENERO 2021]]-Tabla1[[#This Row],[REQUISICIONES FEBRERO 2021]]</f>
        <v>0</v>
      </c>
      <c r="V205" s="247">
        <f>+Tabla1[[#This Row],[STOCK  FEBRERO 2021]]-Tabla1[[#This Row],[REQUISICIONES MARZO 2021]]+Tabla1[[#This Row],[ENTRADAS MARZO 2021]]</f>
        <v>0</v>
      </c>
      <c r="W205" s="185">
        <f>+Tabla1[[#This Row],[STOCK MARZO 2021]]-Tabla1[[#This Row],[REQUISICIONES ABRIL 2021]]+Tabla1[[#This Row],[ENTRADAS ABRIL 2021]]</f>
        <v>0</v>
      </c>
      <c r="X205" s="185">
        <f>+Tabla1[[#This Row],[STOCK ABRIL 2021]]-Tabla1[[#This Row],[REQUISICIONES MAYO 2021]]+Tabla1[[#This Row],[ENTRADAS MAYO 2021]]</f>
        <v>0</v>
      </c>
      <c r="Y205" s="185">
        <f>+Tabla1[[#This Row],[STOCK MAYO 2021]]-Tabla1[[#This Row],[REQUISICIONES JUNIO 2021]]+Tabla1[[#This Row],[ENTRADAS JUNIO 2021]]</f>
        <v>2</v>
      </c>
      <c r="Z205" s="48" t="s">
        <v>146</v>
      </c>
      <c r="AA205" s="122">
        <v>152.59</v>
      </c>
      <c r="AB205" s="39">
        <f t="shared" si="6"/>
        <v>180.05619999999999</v>
      </c>
      <c r="AC205" s="94">
        <f>Tabla1[[#This Row],[STOCK JUNIO ]]*Tabla1[[#This Row],[COSTO UNITARIO SIN ITBIS]]</f>
        <v>305.18</v>
      </c>
    </row>
    <row r="206" spans="1:29" s="12" customFormat="1" x14ac:dyDescent="0.25">
      <c r="A206" s="263">
        <v>12</v>
      </c>
      <c r="B206" s="42">
        <v>43556</v>
      </c>
      <c r="C206" s="34" t="s">
        <v>11</v>
      </c>
      <c r="D206" s="42">
        <v>43748</v>
      </c>
      <c r="E206" s="139"/>
      <c r="F206" s="51">
        <v>1039</v>
      </c>
      <c r="G206" s="48" t="s">
        <v>720</v>
      </c>
      <c r="H206" s="66">
        <v>550</v>
      </c>
      <c r="I206" s="66">
        <f>20+140+20+5+5+1</f>
        <v>191</v>
      </c>
      <c r="J206" s="66">
        <f>+'INVENTARIO ABRIL-JUNIO 2021'!$H206-'INVENTARIO ABRIL-JUNIO 2021'!$I206+193</f>
        <v>552</v>
      </c>
      <c r="K206" s="66"/>
      <c r="L206" s="66"/>
      <c r="M206" s="66"/>
      <c r="N206" s="66"/>
      <c r="O206" s="217"/>
      <c r="P206" s="66">
        <f>5+20+20+20+5+20+4+50+20+5+20+60</f>
        <v>249</v>
      </c>
      <c r="Q206" s="66">
        <f>5+20+5+20+2+3+20+20+5+20</f>
        <v>120</v>
      </c>
      <c r="R206" s="66">
        <f>5+20+20+4+20+5+20+3+20+20+5+1</f>
        <v>143</v>
      </c>
      <c r="S206" s="66">
        <f>4+20+5+7+4</f>
        <v>40</v>
      </c>
      <c r="T206" s="66"/>
      <c r="U206" s="66">
        <f>+Tabla1[[#This Row],[STOCK    FISICO ENERO 2021]]-Tabla1[[#This Row],[REQUISICIONES FEBRERO 2021]]</f>
        <v>303</v>
      </c>
      <c r="V206" s="66">
        <f>+Tabla1[[#This Row],[STOCK  FEBRERO 2021]]-Tabla1[[#This Row],[REQUISICIONES MARZO 2021]]+Tabla1[[#This Row],[ENTRADAS MARZO 2021]]</f>
        <v>183</v>
      </c>
      <c r="W206" s="66">
        <f>+Tabla1[[#This Row],[STOCK MARZO 2021]]-Tabla1[[#This Row],[REQUISICIONES ABRIL 2021]]+Tabla1[[#This Row],[ENTRADAS ABRIL 2021]]</f>
        <v>40</v>
      </c>
      <c r="X206" s="66">
        <f>+Tabla1[[#This Row],[STOCK ABRIL 2021]]-Tabla1[[#This Row],[REQUISICIONES MAYO 2021]]+Tabla1[[#This Row],[ENTRADAS MAYO 2021]]</f>
        <v>0</v>
      </c>
      <c r="Y206" s="66">
        <f>+Tabla1[[#This Row],[STOCK MAYO 2021]]-Tabla1[[#This Row],[REQUISICIONES JUNIO 2021]]+Tabla1[[#This Row],[ENTRADAS JUNIO 2021]]</f>
        <v>0</v>
      </c>
      <c r="Z206" s="48" t="s">
        <v>870</v>
      </c>
      <c r="AA206" s="52">
        <v>229.68</v>
      </c>
      <c r="AB206" s="39">
        <f t="shared" si="6"/>
        <v>271.0224</v>
      </c>
      <c r="AC206" s="94">
        <f>Tabla1[[#This Row],[STOCK JUNIO ]]*Tabla1[[#This Row],[COSTO UNITARIO SIN ITBIS]]</f>
        <v>0</v>
      </c>
    </row>
    <row r="207" spans="1:29" s="12" customFormat="1" x14ac:dyDescent="0.25">
      <c r="A207" s="221">
        <v>13</v>
      </c>
      <c r="B207" s="117">
        <v>44327</v>
      </c>
      <c r="C207" s="34" t="s">
        <v>11</v>
      </c>
      <c r="D207" s="117">
        <v>44327</v>
      </c>
      <c r="E207" s="138" t="s">
        <v>869</v>
      </c>
      <c r="F207" s="197"/>
      <c r="G207" s="48" t="s">
        <v>720</v>
      </c>
      <c r="H207" s="120"/>
      <c r="I207" s="120"/>
      <c r="J207" s="120">
        <f>+'INVENTARIO ABRIL-JUNIO 2021'!$H207-'INVENTARIO ABRIL-JUNIO 2021'!$I207</f>
        <v>0</v>
      </c>
      <c r="K207" s="120"/>
      <c r="L207" s="120"/>
      <c r="M207" s="120"/>
      <c r="N207" s="126">
        <f>15*20</f>
        <v>300</v>
      </c>
      <c r="O207" s="121"/>
      <c r="P207" s="120"/>
      <c r="Q207" s="120"/>
      <c r="R207" s="120"/>
      <c r="S207" s="120">
        <f>20+5+20+5+4+20+2+20+20+5+20</f>
        <v>141</v>
      </c>
      <c r="T207" s="120">
        <f>20+5+20+4+40+70</f>
        <v>159</v>
      </c>
      <c r="U207" s="121">
        <f>+Tabla1[[#This Row],[STOCK    FISICO ENERO 2021]]-Tabla1[[#This Row],[REQUISICIONES FEBRERO 2021]]</f>
        <v>0</v>
      </c>
      <c r="V207" s="121">
        <f>+Tabla1[[#This Row],[STOCK  FEBRERO 2021]]-Tabla1[[#This Row],[REQUISICIONES MARZO 2021]]+Tabla1[[#This Row],[ENTRADAS MARZO 2021]]</f>
        <v>0</v>
      </c>
      <c r="W207" s="217">
        <f>+Tabla1[[#This Row],[STOCK MARZO 2021]]-Tabla1[[#This Row],[REQUISICIONES ABRIL 2021]]+Tabla1[[#This Row],[ENTRADAS ABRIL 2021]]</f>
        <v>0</v>
      </c>
      <c r="X207" s="217">
        <f>+Tabla1[[#This Row],[STOCK ABRIL 2021]]-Tabla1[[#This Row],[REQUISICIONES MAYO 2021]]+Tabla1[[#This Row],[ENTRADAS MAYO 2021]]</f>
        <v>159</v>
      </c>
      <c r="Y207" s="217">
        <f>+Tabla1[[#This Row],[STOCK MAYO 2021]]-Tabla1[[#This Row],[REQUISICIONES JUNIO 2021]]+Tabla1[[#This Row],[ENTRADAS JUNIO 2021]]</f>
        <v>0</v>
      </c>
      <c r="Z207" s="48" t="s">
        <v>870</v>
      </c>
      <c r="AA207" s="122">
        <f>5116.53/20</f>
        <v>255.82649999999998</v>
      </c>
      <c r="AB207" s="39">
        <f t="shared" si="6"/>
        <v>301.87527</v>
      </c>
      <c r="AC207" s="94">
        <f>Tabla1[[#This Row],[STOCK JUNIO ]]*Tabla1[[#This Row],[COSTO UNITARIO SIN ITBIS]]</f>
        <v>0</v>
      </c>
    </row>
    <row r="208" spans="1:29" s="12" customFormat="1" x14ac:dyDescent="0.25">
      <c r="A208" s="263">
        <v>14</v>
      </c>
      <c r="B208" s="310">
        <v>44363</v>
      </c>
      <c r="C208" s="34" t="s">
        <v>11</v>
      </c>
      <c r="D208" s="243">
        <v>44354</v>
      </c>
      <c r="E208" s="249" t="s">
        <v>913</v>
      </c>
      <c r="F208" s="322"/>
      <c r="G208" s="48" t="s">
        <v>720</v>
      </c>
      <c r="H208" s="245"/>
      <c r="I208" s="245"/>
      <c r="J208" s="245">
        <f>+'INVENTARIO ABRIL-JUNIO 2021'!$H208-'INVENTARIO ABRIL-JUNIO 2021'!$I208</f>
        <v>0</v>
      </c>
      <c r="K208" s="245"/>
      <c r="L208" s="245"/>
      <c r="M208" s="245"/>
      <c r="N208" s="246"/>
      <c r="O208" s="247">
        <f>30*20+90*20</f>
        <v>2400</v>
      </c>
      <c r="P208" s="245"/>
      <c r="Q208" s="245"/>
      <c r="R208" s="245"/>
      <c r="S208" s="245"/>
      <c r="T208" s="245">
        <f>5+20+40+20+20+2+40+40+20+40+30+70+20+20+30+20+30+5+3+30</f>
        <v>505</v>
      </c>
      <c r="U208" s="247">
        <f>+Tabla1[[#This Row],[STOCK    FISICO ENERO 2021]]-Tabla1[[#This Row],[REQUISICIONES FEBRERO 2021]]</f>
        <v>0</v>
      </c>
      <c r="V208" s="247">
        <f>+Tabla1[[#This Row],[STOCK  FEBRERO 2021]]-Tabla1[[#This Row],[REQUISICIONES MARZO 2021]]+Tabla1[[#This Row],[ENTRADAS MARZO 2021]]</f>
        <v>0</v>
      </c>
      <c r="W208" s="217">
        <f>+Tabla1[[#This Row],[STOCK MARZO 2021]]-Tabla1[[#This Row],[REQUISICIONES ABRIL 2021]]+Tabla1[[#This Row],[ENTRADAS ABRIL 2021]]</f>
        <v>0</v>
      </c>
      <c r="X208" s="217">
        <f>+Tabla1[[#This Row],[STOCK ABRIL 2021]]-Tabla1[[#This Row],[REQUISICIONES MAYO 2021]]+Tabla1[[#This Row],[ENTRADAS MAYO 2021]]</f>
        <v>0</v>
      </c>
      <c r="Y208" s="217">
        <f>+Tabla1[[#This Row],[STOCK MAYO 2021]]-Tabla1[[#This Row],[REQUISICIONES JUNIO 2021]]+Tabla1[[#This Row],[ENTRADAS JUNIO 2021]]</f>
        <v>1895</v>
      </c>
      <c r="Z208" s="48" t="s">
        <v>870</v>
      </c>
      <c r="AA208" s="248">
        <v>191</v>
      </c>
      <c r="AB208" s="39">
        <f t="shared" si="6"/>
        <v>225.38</v>
      </c>
      <c r="AC208" s="94">
        <f>Tabla1[[#This Row],[STOCK JUNIO ]]*Tabla1[[#This Row],[COSTO UNITARIO SIN ITBIS]]</f>
        <v>361945</v>
      </c>
    </row>
    <row r="209" spans="1:29" s="12" customFormat="1" x14ac:dyDescent="0.25">
      <c r="A209" s="221">
        <v>15</v>
      </c>
      <c r="B209" s="42">
        <v>43556</v>
      </c>
      <c r="C209" s="34" t="s">
        <v>11</v>
      </c>
      <c r="D209" s="42">
        <v>43686</v>
      </c>
      <c r="E209" s="139"/>
      <c r="F209" s="51" t="s">
        <v>20</v>
      </c>
      <c r="G209" s="48" t="s">
        <v>729</v>
      </c>
      <c r="H209" s="66">
        <v>93</v>
      </c>
      <c r="I209" s="66">
        <f>5+1+1+2+1</f>
        <v>10</v>
      </c>
      <c r="J209" s="66">
        <f>+'INVENTARIO ABRIL-JUNIO 2021'!$H209-'INVENTARIO ABRIL-JUNIO 2021'!$I209</f>
        <v>83</v>
      </c>
      <c r="K209" s="66"/>
      <c r="L209" s="66"/>
      <c r="M209" s="66"/>
      <c r="N209" s="66"/>
      <c r="O209" s="217"/>
      <c r="P209" s="66">
        <f>1+1+1+1+1+1+5+1+1+1+1+2</f>
        <v>17</v>
      </c>
      <c r="Q209" s="66">
        <f>1+1+2+1+2+1+1+1+1</f>
        <v>11</v>
      </c>
      <c r="R209" s="66">
        <f>1+1+2+1+1+1+2+1+1+2+1</f>
        <v>14</v>
      </c>
      <c r="S209" s="66">
        <f>2+1+2+1+1+1+1+1+1+3+1</f>
        <v>15</v>
      </c>
      <c r="T209" s="66">
        <f>2+1+5+3+5+2+2+1+1+1+1+2</f>
        <v>26</v>
      </c>
      <c r="U209" s="66">
        <f>+Tabla1[[#This Row],[STOCK    FISICO ENERO 2021]]-Tabla1[[#This Row],[REQUISICIONES FEBRERO 2021]]</f>
        <v>66</v>
      </c>
      <c r="V209" s="66">
        <f>+Tabla1[[#This Row],[STOCK  FEBRERO 2021]]-Tabla1[[#This Row],[REQUISICIONES MARZO 2021]]+Tabla1[[#This Row],[ENTRADAS MARZO 2021]]</f>
        <v>55</v>
      </c>
      <c r="W209" s="66">
        <f>+Tabla1[[#This Row],[STOCK MARZO 2021]]-Tabla1[[#This Row],[REQUISICIONES ABRIL 2021]]+Tabla1[[#This Row],[ENTRADAS ABRIL 2021]]</f>
        <v>41</v>
      </c>
      <c r="X209" s="66">
        <f>+Tabla1[[#This Row],[STOCK ABRIL 2021]]-Tabla1[[#This Row],[REQUISICIONES MAYO 2021]]+Tabla1[[#This Row],[ENTRADAS MAYO 2021]]</f>
        <v>26</v>
      </c>
      <c r="Y209" s="66">
        <f>+Tabla1[[#This Row],[STOCK MAYO 2021]]-Tabla1[[#This Row],[REQUISICIONES JUNIO 2021]]+Tabla1[[#This Row],[ENTRADAS JUNIO 2021]]</f>
        <v>0</v>
      </c>
      <c r="Z209" s="48" t="s">
        <v>125</v>
      </c>
      <c r="AA209" s="52">
        <v>224.2</v>
      </c>
      <c r="AB209" s="39">
        <f t="shared" si="6"/>
        <v>264.55599999999998</v>
      </c>
      <c r="AC209" s="94">
        <f>Tabla1[[#This Row],[STOCK JUNIO ]]*Tabla1[[#This Row],[COSTO UNITARIO SIN ITBIS]]</f>
        <v>0</v>
      </c>
    </row>
    <row r="210" spans="1:29" s="12" customFormat="1" x14ac:dyDescent="0.25">
      <c r="A210" s="263">
        <v>16</v>
      </c>
      <c r="B210" s="310">
        <v>44363</v>
      </c>
      <c r="C210" s="34" t="s">
        <v>11</v>
      </c>
      <c r="D210" s="243">
        <v>44354</v>
      </c>
      <c r="E210" s="249" t="s">
        <v>913</v>
      </c>
      <c r="F210" s="322"/>
      <c r="G210" s="48" t="s">
        <v>915</v>
      </c>
      <c r="H210" s="245"/>
      <c r="I210" s="245"/>
      <c r="J210" s="245">
        <f>+'INVENTARIO ABRIL-JUNIO 2021'!$H210-'INVENTARIO ABRIL-JUNIO 2021'!$I210</f>
        <v>0</v>
      </c>
      <c r="K210" s="245"/>
      <c r="L210" s="245"/>
      <c r="M210" s="245"/>
      <c r="N210" s="246"/>
      <c r="O210" s="247">
        <v>100</v>
      </c>
      <c r="P210" s="245"/>
      <c r="Q210" s="245"/>
      <c r="R210" s="245"/>
      <c r="S210" s="245"/>
      <c r="T210" s="245">
        <f>1+1+1+1</f>
        <v>4</v>
      </c>
      <c r="U210" s="247">
        <f>+Tabla1[[#This Row],[STOCK    FISICO ENERO 2021]]-Tabla1[[#This Row],[REQUISICIONES FEBRERO 2021]]</f>
        <v>0</v>
      </c>
      <c r="V210" s="247">
        <f>+Tabla1[[#This Row],[STOCK  FEBRERO 2021]]-Tabla1[[#This Row],[REQUISICIONES MARZO 2021]]+Tabla1[[#This Row],[ENTRADAS MARZO 2021]]</f>
        <v>0</v>
      </c>
      <c r="W210" s="217">
        <f>+Tabla1[[#This Row],[STOCK MARZO 2021]]-Tabla1[[#This Row],[REQUISICIONES ABRIL 2021]]+Tabla1[[#This Row],[ENTRADAS ABRIL 2021]]</f>
        <v>0</v>
      </c>
      <c r="X210" s="217">
        <f>+Tabla1[[#This Row],[STOCK ABRIL 2021]]-Tabla1[[#This Row],[REQUISICIONES MAYO 2021]]+Tabla1[[#This Row],[ENTRADAS MAYO 2021]]</f>
        <v>0</v>
      </c>
      <c r="Y210" s="217">
        <f>+Tabla1[[#This Row],[STOCK MAYO 2021]]-Tabla1[[#This Row],[REQUISICIONES JUNIO 2021]]+Tabla1[[#This Row],[ENTRADAS JUNIO 2021]]</f>
        <v>96</v>
      </c>
      <c r="Z210" s="48" t="s">
        <v>125</v>
      </c>
      <c r="AA210" s="248">
        <v>310</v>
      </c>
      <c r="AB210" s="39">
        <f t="shared" si="6"/>
        <v>365.8</v>
      </c>
      <c r="AC210" s="94">
        <f>Tabla1[[#This Row],[STOCK JUNIO ]]*Tabla1[[#This Row],[COSTO UNITARIO SIN ITBIS]]</f>
        <v>29760</v>
      </c>
    </row>
    <row r="211" spans="1:29" x14ac:dyDescent="0.25">
      <c r="A211" s="221">
        <v>17</v>
      </c>
      <c r="B211" s="42">
        <v>43637</v>
      </c>
      <c r="C211" s="41" t="s">
        <v>11</v>
      </c>
      <c r="D211" s="42">
        <v>43634</v>
      </c>
      <c r="E211" s="139"/>
      <c r="F211" s="43">
        <v>1257</v>
      </c>
      <c r="G211" s="40" t="s">
        <v>148</v>
      </c>
      <c r="H211" s="65">
        <v>63</v>
      </c>
      <c r="I211" s="65"/>
      <c r="J211" s="65">
        <f>+'INVENTARIO ABRIL-JUNIO 2021'!$H211-'INVENTARIO ABRIL-JUNIO 2021'!$I211</f>
        <v>63</v>
      </c>
      <c r="K211" s="65"/>
      <c r="L211" s="65"/>
      <c r="M211" s="65"/>
      <c r="N211" s="65"/>
      <c r="O211" s="215"/>
      <c r="P211" s="65">
        <f>1+2+1</f>
        <v>4</v>
      </c>
      <c r="Q211" s="65">
        <f>1+1+1+1+2+1</f>
        <v>7</v>
      </c>
      <c r="R211" s="65">
        <f>2+1+1</f>
        <v>4</v>
      </c>
      <c r="S211" s="65">
        <f>1+1+1</f>
        <v>3</v>
      </c>
      <c r="T211" s="65">
        <f>2+1+3+3</f>
        <v>9</v>
      </c>
      <c r="U211" s="65">
        <f>+Tabla1[[#This Row],[STOCK    FISICO ENERO 2021]]-Tabla1[[#This Row],[REQUISICIONES FEBRERO 2021]]</f>
        <v>59</v>
      </c>
      <c r="V211" s="65">
        <f>+Tabla1[[#This Row],[STOCK  FEBRERO 2021]]-Tabla1[[#This Row],[REQUISICIONES MARZO 2021]]+Tabla1[[#This Row],[ENTRADAS MARZO 2021]]</f>
        <v>52</v>
      </c>
      <c r="W211" s="65">
        <f>+Tabla1[[#This Row],[STOCK MARZO 2021]]-Tabla1[[#This Row],[REQUISICIONES ABRIL 2021]]+Tabla1[[#This Row],[ENTRADAS ABRIL 2021]]</f>
        <v>48</v>
      </c>
      <c r="X211" s="65">
        <f>+Tabla1[[#This Row],[STOCK ABRIL 2021]]-Tabla1[[#This Row],[REQUISICIONES MAYO 2021]]+Tabla1[[#This Row],[ENTRADAS MAYO 2021]]</f>
        <v>45</v>
      </c>
      <c r="Y211" s="65">
        <f>+Tabla1[[#This Row],[STOCK MAYO 2021]]-Tabla1[[#This Row],[REQUISICIONES JUNIO 2021]]+Tabla1[[#This Row],[ENTRADAS JUNIO 2021]]</f>
        <v>36</v>
      </c>
      <c r="Z211" s="40" t="s">
        <v>48</v>
      </c>
      <c r="AA211" s="45">
        <v>23.3</v>
      </c>
      <c r="AB211" s="39">
        <f t="shared" si="6"/>
        <v>27.494</v>
      </c>
      <c r="AC211" s="94">
        <f>Tabla1[[#This Row],[STOCK JUNIO ]]*Tabla1[[#This Row],[COSTO UNITARIO SIN ITBIS]]</f>
        <v>838.80000000000007</v>
      </c>
    </row>
    <row r="212" spans="1:29" x14ac:dyDescent="0.25">
      <c r="A212" s="263">
        <v>18</v>
      </c>
      <c r="B212" s="310">
        <v>44363</v>
      </c>
      <c r="C212" s="41" t="s">
        <v>11</v>
      </c>
      <c r="D212" s="243">
        <v>44354</v>
      </c>
      <c r="E212" s="249" t="s">
        <v>913</v>
      </c>
      <c r="F212" s="322"/>
      <c r="G212" s="40" t="s">
        <v>148</v>
      </c>
      <c r="H212" s="245"/>
      <c r="I212" s="245"/>
      <c r="J212" s="245">
        <f>+'INVENTARIO ABRIL-JUNIO 2021'!$H212-'INVENTARIO ABRIL-JUNIO 2021'!$I212</f>
        <v>0</v>
      </c>
      <c r="K212" s="245"/>
      <c r="L212" s="245"/>
      <c r="M212" s="245"/>
      <c r="N212" s="246"/>
      <c r="O212" s="247">
        <v>10</v>
      </c>
      <c r="P212" s="245"/>
      <c r="Q212" s="245"/>
      <c r="R212" s="245"/>
      <c r="S212" s="245"/>
      <c r="T212" s="245"/>
      <c r="U212" s="247">
        <f>+Tabla1[[#This Row],[STOCK    FISICO ENERO 2021]]-Tabla1[[#This Row],[REQUISICIONES FEBRERO 2021]]</f>
        <v>0</v>
      </c>
      <c r="V212" s="247">
        <f>+Tabla1[[#This Row],[STOCK  FEBRERO 2021]]-Tabla1[[#This Row],[REQUISICIONES MARZO 2021]]+Tabla1[[#This Row],[ENTRADAS MARZO 2021]]</f>
        <v>0</v>
      </c>
      <c r="W212" s="215">
        <f>+Tabla1[[#This Row],[STOCK MARZO 2021]]-Tabla1[[#This Row],[REQUISICIONES ABRIL 2021]]+Tabla1[[#This Row],[ENTRADAS ABRIL 2021]]</f>
        <v>0</v>
      </c>
      <c r="X212" s="215">
        <f>+Tabla1[[#This Row],[STOCK ABRIL 2021]]-Tabla1[[#This Row],[REQUISICIONES MAYO 2021]]+Tabla1[[#This Row],[ENTRADAS MAYO 2021]]</f>
        <v>0</v>
      </c>
      <c r="Y212" s="215">
        <f>+Tabla1[[#This Row],[STOCK MAYO 2021]]-Tabla1[[#This Row],[REQUISICIONES JUNIO 2021]]+Tabla1[[#This Row],[ENTRADAS JUNIO 2021]]</f>
        <v>10</v>
      </c>
      <c r="Z212" s="40" t="s">
        <v>48</v>
      </c>
      <c r="AA212" s="248">
        <v>24</v>
      </c>
      <c r="AB212" s="39">
        <f t="shared" si="6"/>
        <v>28.32</v>
      </c>
      <c r="AC212" s="94">
        <f>Tabla1[[#This Row],[STOCK JUNIO ]]*Tabla1[[#This Row],[COSTO UNITARIO SIN ITBIS]]</f>
        <v>240</v>
      </c>
    </row>
    <row r="213" spans="1:29" s="10" customFormat="1" x14ac:dyDescent="0.25">
      <c r="A213" s="221">
        <v>19</v>
      </c>
      <c r="B213" s="42">
        <v>43637</v>
      </c>
      <c r="C213" s="41" t="s">
        <v>11</v>
      </c>
      <c r="D213" s="42">
        <v>43634</v>
      </c>
      <c r="E213" s="139"/>
      <c r="F213" s="43">
        <v>1258</v>
      </c>
      <c r="G213" s="40" t="s">
        <v>149</v>
      </c>
      <c r="H213" s="65">
        <v>144</v>
      </c>
      <c r="I213" s="65"/>
      <c r="J213" s="65">
        <f>+'INVENTARIO ABRIL-JUNIO 2021'!$H213-'INVENTARIO ABRIL-JUNIO 2021'!$I213</f>
        <v>144</v>
      </c>
      <c r="K213" s="65"/>
      <c r="L213" s="65"/>
      <c r="M213" s="65"/>
      <c r="N213" s="65"/>
      <c r="O213" s="215"/>
      <c r="P213" s="65"/>
      <c r="Q213" s="65">
        <f>1+1+2</f>
        <v>4</v>
      </c>
      <c r="R213" s="65">
        <f>1+1+1</f>
        <v>3</v>
      </c>
      <c r="S213" s="65">
        <v>2</v>
      </c>
      <c r="T213" s="65">
        <v>1</v>
      </c>
      <c r="U213" s="65">
        <f>+Tabla1[[#This Row],[STOCK    FISICO ENERO 2021]]-Tabla1[[#This Row],[REQUISICIONES FEBRERO 2021]]</f>
        <v>144</v>
      </c>
      <c r="V213" s="65">
        <f>+Tabla1[[#This Row],[STOCK  FEBRERO 2021]]-Tabla1[[#This Row],[REQUISICIONES MARZO 2021]]+Tabla1[[#This Row],[ENTRADAS MARZO 2021]]</f>
        <v>140</v>
      </c>
      <c r="W213" s="65">
        <f>+Tabla1[[#This Row],[STOCK MARZO 2021]]-Tabla1[[#This Row],[REQUISICIONES ABRIL 2021]]+Tabla1[[#This Row],[ENTRADAS ABRIL 2021]]</f>
        <v>137</v>
      </c>
      <c r="X213" s="65">
        <f>+Tabla1[[#This Row],[STOCK ABRIL 2021]]-Tabla1[[#This Row],[REQUISICIONES MAYO 2021]]+Tabla1[[#This Row],[ENTRADAS MAYO 2021]]</f>
        <v>135</v>
      </c>
      <c r="Y213" s="65">
        <f>+Tabla1[[#This Row],[STOCK MAYO 2021]]-Tabla1[[#This Row],[REQUISICIONES JUNIO 2021]]+Tabla1[[#This Row],[ENTRADAS JUNIO 2021]]</f>
        <v>134</v>
      </c>
      <c r="Z213" s="40" t="s">
        <v>48</v>
      </c>
      <c r="AA213" s="45">
        <v>23.3</v>
      </c>
      <c r="AB213" s="39">
        <f t="shared" si="6"/>
        <v>27.494</v>
      </c>
      <c r="AC213" s="94">
        <f>Tabla1[[#This Row],[STOCK JUNIO ]]*Tabla1[[#This Row],[COSTO UNITARIO SIN ITBIS]]</f>
        <v>3122.2000000000003</v>
      </c>
    </row>
    <row r="214" spans="1:29" s="10" customFormat="1" x14ac:dyDescent="0.25">
      <c r="A214" s="263">
        <v>20</v>
      </c>
      <c r="B214" s="42">
        <v>43637</v>
      </c>
      <c r="C214" s="41" t="s">
        <v>11</v>
      </c>
      <c r="D214" s="42">
        <v>43686</v>
      </c>
      <c r="E214" s="139"/>
      <c r="F214" s="43">
        <v>1256</v>
      </c>
      <c r="G214" s="40" t="s">
        <v>150</v>
      </c>
      <c r="H214" s="65">
        <v>35</v>
      </c>
      <c r="I214" s="65">
        <v>1</v>
      </c>
      <c r="J214" s="65">
        <f>+'INVENTARIO ABRIL-JUNIO 2021'!$H214-'INVENTARIO ABRIL-JUNIO 2021'!$I214</f>
        <v>34</v>
      </c>
      <c r="K214" s="65"/>
      <c r="L214" s="65"/>
      <c r="M214" s="65"/>
      <c r="N214" s="65"/>
      <c r="O214" s="215"/>
      <c r="P214" s="65">
        <v>1</v>
      </c>
      <c r="Q214" s="65">
        <f>1+1+3+1+2</f>
        <v>8</v>
      </c>
      <c r="R214" s="65">
        <f>1+1+1+1</f>
        <v>4</v>
      </c>
      <c r="S214" s="65">
        <f>1+1</f>
        <v>2</v>
      </c>
      <c r="T214" s="65">
        <v>1</v>
      </c>
      <c r="U214" s="65">
        <f>+Tabla1[[#This Row],[STOCK    FISICO ENERO 2021]]-Tabla1[[#This Row],[REQUISICIONES FEBRERO 2021]]</f>
        <v>33</v>
      </c>
      <c r="V214" s="65">
        <f>+Tabla1[[#This Row],[STOCK  FEBRERO 2021]]-Tabla1[[#This Row],[REQUISICIONES MARZO 2021]]+Tabla1[[#This Row],[ENTRADAS MARZO 2021]]</f>
        <v>25</v>
      </c>
      <c r="W214" s="65">
        <f>+Tabla1[[#This Row],[STOCK MARZO 2021]]-Tabla1[[#This Row],[REQUISICIONES ABRIL 2021]]+Tabla1[[#This Row],[ENTRADAS ABRIL 2021]]</f>
        <v>21</v>
      </c>
      <c r="X214" s="65">
        <f>+Tabla1[[#This Row],[STOCK ABRIL 2021]]-Tabla1[[#This Row],[REQUISICIONES MAYO 2021]]+Tabla1[[#This Row],[ENTRADAS MAYO 2021]]</f>
        <v>19</v>
      </c>
      <c r="Y214" s="65">
        <f>+Tabla1[[#This Row],[STOCK MAYO 2021]]-Tabla1[[#This Row],[REQUISICIONES JUNIO 2021]]+Tabla1[[#This Row],[ENTRADAS JUNIO 2021]]</f>
        <v>18</v>
      </c>
      <c r="Z214" s="40" t="s">
        <v>48</v>
      </c>
      <c r="AA214" s="45">
        <v>41.3</v>
      </c>
      <c r="AB214" s="39">
        <f t="shared" si="6"/>
        <v>48.733999999999995</v>
      </c>
      <c r="AC214" s="94">
        <f>Tabla1[[#This Row],[STOCK JUNIO ]]*Tabla1[[#This Row],[COSTO UNITARIO SIN ITBIS]]</f>
        <v>743.4</v>
      </c>
    </row>
    <row r="215" spans="1:29" s="10" customFormat="1" x14ac:dyDescent="0.25">
      <c r="A215" s="221">
        <v>21</v>
      </c>
      <c r="B215" s="310">
        <v>44363</v>
      </c>
      <c r="C215" s="41" t="s">
        <v>11</v>
      </c>
      <c r="D215" s="243">
        <v>44354</v>
      </c>
      <c r="E215" s="249" t="s">
        <v>913</v>
      </c>
      <c r="F215" s="322"/>
      <c r="G215" s="40" t="s">
        <v>150</v>
      </c>
      <c r="H215" s="245"/>
      <c r="I215" s="245"/>
      <c r="J215" s="245">
        <f>+'INVENTARIO ABRIL-JUNIO 2021'!$H215-'INVENTARIO ABRIL-JUNIO 2021'!$I215</f>
        <v>0</v>
      </c>
      <c r="K215" s="245"/>
      <c r="L215" s="245"/>
      <c r="M215" s="245"/>
      <c r="N215" s="246"/>
      <c r="O215" s="247">
        <v>10</v>
      </c>
      <c r="P215" s="245"/>
      <c r="Q215" s="245"/>
      <c r="R215" s="245"/>
      <c r="S215" s="245"/>
      <c r="T215" s="245"/>
      <c r="U215" s="247">
        <f>+Tabla1[[#This Row],[STOCK    FISICO ENERO 2021]]-Tabla1[[#This Row],[REQUISICIONES FEBRERO 2021]]</f>
        <v>0</v>
      </c>
      <c r="V215" s="247">
        <f>+Tabla1[[#This Row],[STOCK  FEBRERO 2021]]-Tabla1[[#This Row],[REQUISICIONES MARZO 2021]]+Tabla1[[#This Row],[ENTRADAS MARZO 2021]]</f>
        <v>0</v>
      </c>
      <c r="W215" s="215">
        <f>+Tabla1[[#This Row],[STOCK MARZO 2021]]-Tabla1[[#This Row],[REQUISICIONES ABRIL 2021]]+Tabla1[[#This Row],[ENTRADAS ABRIL 2021]]</f>
        <v>0</v>
      </c>
      <c r="X215" s="215">
        <f>+Tabla1[[#This Row],[STOCK ABRIL 2021]]-Tabla1[[#This Row],[REQUISICIONES MAYO 2021]]+Tabla1[[#This Row],[ENTRADAS MAYO 2021]]</f>
        <v>0</v>
      </c>
      <c r="Y215" s="215">
        <f>+Tabla1[[#This Row],[STOCK MAYO 2021]]-Tabla1[[#This Row],[REQUISICIONES JUNIO 2021]]+Tabla1[[#This Row],[ENTRADAS JUNIO 2021]]</f>
        <v>10</v>
      </c>
      <c r="Z215" s="40" t="s">
        <v>48</v>
      </c>
      <c r="AA215" s="248">
        <v>43.95</v>
      </c>
      <c r="AB215" s="39">
        <f t="shared" si="6"/>
        <v>51.861000000000004</v>
      </c>
      <c r="AC215" s="94">
        <f>Tabla1[[#This Row],[STOCK JUNIO ]]*Tabla1[[#This Row],[COSTO UNITARIO SIN ITBIS]]</f>
        <v>439.5</v>
      </c>
    </row>
    <row r="216" spans="1:29" s="186" customFormat="1" x14ac:dyDescent="0.25">
      <c r="A216" s="263">
        <v>22</v>
      </c>
      <c r="B216" s="42">
        <v>44106</v>
      </c>
      <c r="C216" s="41" t="s">
        <v>11</v>
      </c>
      <c r="D216" s="42">
        <v>44106</v>
      </c>
      <c r="E216" s="139"/>
      <c r="F216" s="43">
        <v>1259</v>
      </c>
      <c r="G216" s="40" t="s">
        <v>151</v>
      </c>
      <c r="H216" s="65">
        <v>10</v>
      </c>
      <c r="I216" s="65">
        <f>2+1</f>
        <v>3</v>
      </c>
      <c r="J216" s="65">
        <f>+'INVENTARIO ABRIL-JUNIO 2021'!$H216-'INVENTARIO ABRIL-JUNIO 2021'!$I216+1</f>
        <v>8</v>
      </c>
      <c r="K216" s="65"/>
      <c r="L216" s="65"/>
      <c r="M216" s="65"/>
      <c r="N216" s="65"/>
      <c r="O216" s="215"/>
      <c r="P216" s="65">
        <f>1+2+2+1+1</f>
        <v>7</v>
      </c>
      <c r="Q216" s="65">
        <v>1</v>
      </c>
      <c r="R216" s="65"/>
      <c r="S216" s="65"/>
      <c r="T216" s="65"/>
      <c r="U216" s="65">
        <f>+Tabla1[[#This Row],[STOCK    FISICO ENERO 2021]]-Tabla1[[#This Row],[REQUISICIONES FEBRERO 2021]]</f>
        <v>1</v>
      </c>
      <c r="V216" s="65">
        <f>+Tabla1[[#This Row],[STOCK  FEBRERO 2021]]-Tabla1[[#This Row],[REQUISICIONES MARZO 2021]]+Tabla1[[#This Row],[ENTRADAS MARZO 2021]]</f>
        <v>0</v>
      </c>
      <c r="W216" s="65">
        <f>+Tabla1[[#This Row],[STOCK MARZO 2021]]-Tabla1[[#This Row],[REQUISICIONES ABRIL 2021]]+Tabla1[[#This Row],[ENTRADAS ABRIL 2021]]</f>
        <v>0</v>
      </c>
      <c r="X216" s="65">
        <f>+Tabla1[[#This Row],[STOCK ABRIL 2021]]-Tabla1[[#This Row],[REQUISICIONES MAYO 2021]]+Tabla1[[#This Row],[ENTRADAS MAYO 2021]]</f>
        <v>0</v>
      </c>
      <c r="Y216" s="65">
        <f>+Tabla1[[#This Row],[STOCK MAYO 2021]]-Tabla1[[#This Row],[REQUISICIONES JUNIO 2021]]+Tabla1[[#This Row],[ENTRADAS JUNIO 2021]]</f>
        <v>0</v>
      </c>
      <c r="Z216" s="40" t="s">
        <v>48</v>
      </c>
      <c r="AA216" s="45">
        <v>39</v>
      </c>
      <c r="AB216" s="39">
        <f t="shared" si="6"/>
        <v>46.019999999999996</v>
      </c>
      <c r="AC216" s="94">
        <f>Tabla1[[#This Row],[STOCK JUNIO ]]*Tabla1[[#This Row],[COSTO UNITARIO SIN ITBIS]]</f>
        <v>0</v>
      </c>
    </row>
    <row r="217" spans="1:29" s="186" customFormat="1" x14ac:dyDescent="0.25">
      <c r="A217" s="221">
        <v>23</v>
      </c>
      <c r="B217" s="117">
        <v>44327</v>
      </c>
      <c r="C217" s="41" t="s">
        <v>11</v>
      </c>
      <c r="D217" s="117">
        <v>44327</v>
      </c>
      <c r="E217" s="138" t="s">
        <v>869</v>
      </c>
      <c r="F217" s="197"/>
      <c r="G217" s="40" t="s">
        <v>151</v>
      </c>
      <c r="H217" s="120"/>
      <c r="I217" s="120"/>
      <c r="J217" s="120">
        <f>+'INVENTARIO ABRIL-JUNIO 2021'!$H217-'INVENTARIO ABRIL-JUNIO 2021'!$I217</f>
        <v>0</v>
      </c>
      <c r="K217" s="120"/>
      <c r="L217" s="120"/>
      <c r="M217" s="120"/>
      <c r="N217" s="126">
        <v>20</v>
      </c>
      <c r="O217" s="121"/>
      <c r="P217" s="120"/>
      <c r="Q217" s="120"/>
      <c r="R217" s="120"/>
      <c r="S217" s="120">
        <f>1+1+2+2+3+1</f>
        <v>10</v>
      </c>
      <c r="T217" s="120">
        <f>1+1+2+3+2+1</f>
        <v>10</v>
      </c>
      <c r="U217" s="121">
        <f>+Tabla1[[#This Row],[STOCK    FISICO ENERO 2021]]-Tabla1[[#This Row],[REQUISICIONES FEBRERO 2021]]</f>
        <v>0</v>
      </c>
      <c r="V217" s="121">
        <f>+Tabla1[[#This Row],[STOCK  FEBRERO 2021]]-Tabla1[[#This Row],[REQUISICIONES MARZO 2021]]+Tabla1[[#This Row],[ENTRADAS MARZO 2021]]</f>
        <v>0</v>
      </c>
      <c r="W217" s="215">
        <f>+Tabla1[[#This Row],[STOCK MARZO 2021]]-Tabla1[[#This Row],[REQUISICIONES ABRIL 2021]]+Tabla1[[#This Row],[ENTRADAS ABRIL 2021]]</f>
        <v>0</v>
      </c>
      <c r="X217" s="215">
        <f>+Tabla1[[#This Row],[STOCK ABRIL 2021]]-Tabla1[[#This Row],[REQUISICIONES MAYO 2021]]+Tabla1[[#This Row],[ENTRADAS MAYO 2021]]</f>
        <v>10</v>
      </c>
      <c r="Y217" s="215">
        <f>+Tabla1[[#This Row],[STOCK MAYO 2021]]-Tabla1[[#This Row],[REQUISICIONES JUNIO 2021]]+Tabla1[[#This Row],[ENTRADAS JUNIO 2021]]</f>
        <v>0</v>
      </c>
      <c r="Z217" s="40" t="s">
        <v>48</v>
      </c>
      <c r="AA217" s="122">
        <v>59.43</v>
      </c>
      <c r="AB217" s="39">
        <f t="shared" si="6"/>
        <v>70.127399999999994</v>
      </c>
      <c r="AC217" s="94">
        <f>Tabla1[[#This Row],[STOCK JUNIO ]]*Tabla1[[#This Row],[COSTO UNITARIO SIN ITBIS]]</f>
        <v>0</v>
      </c>
    </row>
    <row r="218" spans="1:29" s="186" customFormat="1" x14ac:dyDescent="0.25">
      <c r="A218" s="263">
        <v>24</v>
      </c>
      <c r="B218" s="310">
        <v>44363</v>
      </c>
      <c r="C218" s="41" t="s">
        <v>11</v>
      </c>
      <c r="D218" s="243">
        <v>44354</v>
      </c>
      <c r="E218" s="249" t="s">
        <v>913</v>
      </c>
      <c r="F218" s="322"/>
      <c r="G218" s="40" t="s">
        <v>151</v>
      </c>
      <c r="H218" s="245"/>
      <c r="I218" s="245"/>
      <c r="J218" s="245">
        <f>+'INVENTARIO ABRIL-JUNIO 2021'!$H218-'INVENTARIO ABRIL-JUNIO 2021'!$I218</f>
        <v>0</v>
      </c>
      <c r="K218" s="245"/>
      <c r="L218" s="245"/>
      <c r="M218" s="245"/>
      <c r="N218" s="246"/>
      <c r="O218" s="247">
        <v>10</v>
      </c>
      <c r="P218" s="245"/>
      <c r="Q218" s="245"/>
      <c r="R218" s="245"/>
      <c r="S218" s="245"/>
      <c r="T218" s="245">
        <f>3+2</f>
        <v>5</v>
      </c>
      <c r="U218" s="247">
        <f>+Tabla1[[#This Row],[STOCK    FISICO ENERO 2021]]-Tabla1[[#This Row],[REQUISICIONES FEBRERO 2021]]</f>
        <v>0</v>
      </c>
      <c r="V218" s="247">
        <f>+Tabla1[[#This Row],[STOCK  FEBRERO 2021]]-Tabla1[[#This Row],[REQUISICIONES MARZO 2021]]+Tabla1[[#This Row],[ENTRADAS MARZO 2021]]</f>
        <v>0</v>
      </c>
      <c r="W218" s="215">
        <f>+Tabla1[[#This Row],[STOCK MARZO 2021]]-Tabla1[[#This Row],[REQUISICIONES ABRIL 2021]]+Tabla1[[#This Row],[ENTRADAS ABRIL 2021]]</f>
        <v>0</v>
      </c>
      <c r="X218" s="215">
        <f>+Tabla1[[#This Row],[STOCK ABRIL 2021]]-Tabla1[[#This Row],[REQUISICIONES MAYO 2021]]+Tabla1[[#This Row],[ENTRADAS MAYO 2021]]</f>
        <v>0</v>
      </c>
      <c r="Y218" s="215">
        <f>+Tabla1[[#This Row],[STOCK MAYO 2021]]-Tabla1[[#This Row],[REQUISICIONES JUNIO 2021]]+Tabla1[[#This Row],[ENTRADAS JUNIO 2021]]</f>
        <v>5</v>
      </c>
      <c r="Z218" s="40" t="s">
        <v>48</v>
      </c>
      <c r="AA218" s="248">
        <v>54.95</v>
      </c>
      <c r="AB218" s="39">
        <f t="shared" si="6"/>
        <v>64.841000000000008</v>
      </c>
      <c r="AC218" s="94">
        <f>Tabla1[[#This Row],[STOCK JUNIO ]]*Tabla1[[#This Row],[COSTO UNITARIO SIN ITBIS]]</f>
        <v>274.75</v>
      </c>
    </row>
    <row r="219" spans="1:29" x14ac:dyDescent="0.25">
      <c r="A219" s="221">
        <v>25</v>
      </c>
      <c r="B219" s="42">
        <v>44124</v>
      </c>
      <c r="C219" s="41" t="s">
        <v>11</v>
      </c>
      <c r="D219" s="42">
        <v>44124</v>
      </c>
      <c r="E219" s="139"/>
      <c r="F219" s="43" t="s">
        <v>20</v>
      </c>
      <c r="G219" s="40" t="s">
        <v>152</v>
      </c>
      <c r="H219" s="65">
        <v>5</v>
      </c>
      <c r="I219" s="65"/>
      <c r="J219" s="65">
        <f>+'INVENTARIO ABRIL-JUNIO 2021'!$H219-'INVENTARIO ABRIL-JUNIO 2021'!$I219</f>
        <v>5</v>
      </c>
      <c r="K219" s="65"/>
      <c r="L219" s="65"/>
      <c r="M219" s="65"/>
      <c r="N219" s="65"/>
      <c r="O219" s="215"/>
      <c r="P219" s="65">
        <v>1</v>
      </c>
      <c r="Q219" s="65"/>
      <c r="R219" s="65"/>
      <c r="S219" s="65">
        <f>1+1</f>
        <v>2</v>
      </c>
      <c r="T219" s="65"/>
      <c r="U219" s="65">
        <f>+Tabla1[[#This Row],[STOCK    FISICO ENERO 2021]]-Tabla1[[#This Row],[REQUISICIONES FEBRERO 2021]]</f>
        <v>4</v>
      </c>
      <c r="V219" s="65">
        <f>+Tabla1[[#This Row],[STOCK  FEBRERO 2021]]-Tabla1[[#This Row],[REQUISICIONES MARZO 2021]]+Tabla1[[#This Row],[ENTRADAS MARZO 2021]]</f>
        <v>4</v>
      </c>
      <c r="W219" s="65">
        <f>+Tabla1[[#This Row],[STOCK MARZO 2021]]-Tabla1[[#This Row],[REQUISICIONES ABRIL 2021]]+Tabla1[[#This Row],[ENTRADAS ABRIL 2021]]</f>
        <v>4</v>
      </c>
      <c r="X219" s="65">
        <f>+Tabla1[[#This Row],[STOCK ABRIL 2021]]-Tabla1[[#This Row],[REQUISICIONES MAYO 2021]]+Tabla1[[#This Row],[ENTRADAS MAYO 2021]]</f>
        <v>2</v>
      </c>
      <c r="Y219" s="65">
        <f>+Tabla1[[#This Row],[STOCK MAYO 2021]]-Tabla1[[#This Row],[REQUISICIONES JUNIO 2021]]+Tabla1[[#This Row],[ENTRADAS JUNIO 2021]]</f>
        <v>2</v>
      </c>
      <c r="Z219" s="40" t="s">
        <v>48</v>
      </c>
      <c r="AA219" s="45">
        <v>183</v>
      </c>
      <c r="AB219" s="39">
        <f t="shared" si="6"/>
        <v>215.94</v>
      </c>
      <c r="AC219" s="94">
        <f>Tabla1[[#This Row],[STOCK JUNIO ]]*Tabla1[[#This Row],[COSTO UNITARIO SIN ITBIS]]</f>
        <v>366</v>
      </c>
    </row>
    <row r="220" spans="1:29" x14ac:dyDescent="0.25">
      <c r="A220" s="263">
        <v>26</v>
      </c>
      <c r="B220" s="42">
        <v>43686</v>
      </c>
      <c r="C220" s="41" t="s">
        <v>11</v>
      </c>
      <c r="D220" s="42">
        <v>43686</v>
      </c>
      <c r="E220" s="139"/>
      <c r="F220" s="43">
        <v>1470</v>
      </c>
      <c r="G220" s="40" t="s">
        <v>919</v>
      </c>
      <c r="H220" s="65">
        <v>13</v>
      </c>
      <c r="I220" s="65"/>
      <c r="J220" s="65">
        <f>+'INVENTARIO ABRIL-JUNIO 2021'!$H220-'INVENTARIO ABRIL-JUNIO 2021'!$I220</f>
        <v>13</v>
      </c>
      <c r="K220" s="65"/>
      <c r="L220" s="65"/>
      <c r="M220" s="65"/>
      <c r="N220" s="65"/>
      <c r="O220" s="215"/>
      <c r="P220" s="65"/>
      <c r="Q220" s="65"/>
      <c r="R220" s="65"/>
      <c r="S220" s="65"/>
      <c r="T220" s="65"/>
      <c r="U220" s="65">
        <f>+Tabla1[[#This Row],[STOCK    FISICO ENERO 2021]]-Tabla1[[#This Row],[REQUISICIONES FEBRERO 2021]]</f>
        <v>13</v>
      </c>
      <c r="V220" s="65">
        <f>+Tabla1[[#This Row],[STOCK  FEBRERO 2021]]-Tabla1[[#This Row],[REQUISICIONES MARZO 2021]]+Tabla1[[#This Row],[ENTRADAS MARZO 2021]]</f>
        <v>13</v>
      </c>
      <c r="W220" s="65">
        <f>+Tabla1[[#This Row],[STOCK MARZO 2021]]-Tabla1[[#This Row],[REQUISICIONES ABRIL 2021]]+Tabla1[[#This Row],[ENTRADAS ABRIL 2021]]</f>
        <v>13</v>
      </c>
      <c r="X220" s="65">
        <f>+Tabla1[[#This Row],[STOCK ABRIL 2021]]-Tabla1[[#This Row],[REQUISICIONES MAYO 2021]]+Tabla1[[#This Row],[ENTRADAS MAYO 2021]]</f>
        <v>13</v>
      </c>
      <c r="Y220" s="65">
        <f>+Tabla1[[#This Row],[STOCK MAYO 2021]]-Tabla1[[#This Row],[REQUISICIONES JUNIO 2021]]+Tabla1[[#This Row],[ENTRADAS JUNIO 2021]]</f>
        <v>13</v>
      </c>
      <c r="Z220" s="40" t="s">
        <v>48</v>
      </c>
      <c r="AA220" s="45">
        <v>53.1</v>
      </c>
      <c r="AB220" s="39">
        <f t="shared" si="6"/>
        <v>62.658000000000001</v>
      </c>
      <c r="AC220" s="94">
        <f>Tabla1[[#This Row],[STOCK JUNIO ]]*Tabla1[[#This Row],[COSTO UNITARIO SIN ITBIS]]</f>
        <v>690.30000000000007</v>
      </c>
    </row>
    <row r="221" spans="1:29" x14ac:dyDescent="0.25">
      <c r="A221" s="221">
        <v>27</v>
      </c>
      <c r="B221" s="279">
        <v>44364</v>
      </c>
      <c r="C221" s="34" t="s">
        <v>11</v>
      </c>
      <c r="D221" s="243">
        <v>44364</v>
      </c>
      <c r="E221" s="249" t="s">
        <v>918</v>
      </c>
      <c r="F221" s="322"/>
      <c r="G221" s="40" t="s">
        <v>919</v>
      </c>
      <c r="H221" s="245"/>
      <c r="I221" s="245"/>
      <c r="J221" s="245">
        <f>+'INVENTARIO ABRIL-JUNIO 2021'!$H221-'INVENTARIO ABRIL-JUNIO 2021'!$I221</f>
        <v>0</v>
      </c>
      <c r="K221" s="245"/>
      <c r="L221" s="245"/>
      <c r="M221" s="245"/>
      <c r="N221" s="246"/>
      <c r="O221" s="247">
        <v>15</v>
      </c>
      <c r="P221" s="245"/>
      <c r="Q221" s="245"/>
      <c r="R221" s="245"/>
      <c r="S221" s="245"/>
      <c r="T221" s="245"/>
      <c r="U221" s="247">
        <f>+Tabla1[[#This Row],[STOCK    FISICO ENERO 2021]]-Tabla1[[#This Row],[REQUISICIONES FEBRERO 2021]]</f>
        <v>0</v>
      </c>
      <c r="V221" s="247">
        <f>+Tabla1[[#This Row],[STOCK  FEBRERO 2021]]-Tabla1[[#This Row],[REQUISICIONES MARZO 2021]]+Tabla1[[#This Row],[ENTRADAS MARZO 2021]]</f>
        <v>0</v>
      </c>
      <c r="W221" s="215">
        <f>+Tabla1[[#This Row],[STOCK MARZO 2021]]-Tabla1[[#This Row],[REQUISICIONES ABRIL 2021]]+Tabla1[[#This Row],[ENTRADAS ABRIL 2021]]</f>
        <v>0</v>
      </c>
      <c r="X221" s="215">
        <f>+Tabla1[[#This Row],[STOCK ABRIL 2021]]-Tabla1[[#This Row],[REQUISICIONES MAYO 2021]]+Tabla1[[#This Row],[ENTRADAS MAYO 2021]]</f>
        <v>0</v>
      </c>
      <c r="Y221" s="215">
        <f>+Tabla1[[#This Row],[STOCK MAYO 2021]]-Tabla1[[#This Row],[REQUISICIONES JUNIO 2021]]+Tabla1[[#This Row],[ENTRADAS JUNIO 2021]]</f>
        <v>15</v>
      </c>
      <c r="Z221" s="40" t="s">
        <v>48</v>
      </c>
      <c r="AA221" s="122">
        <v>67.760000000000005</v>
      </c>
      <c r="AB221" s="39">
        <f t="shared" si="6"/>
        <v>79.956800000000001</v>
      </c>
      <c r="AC221" s="94">
        <f>Tabla1[[#This Row],[STOCK JUNIO ]]*Tabla1[[#This Row],[COSTO UNITARIO SIN ITBIS]]</f>
        <v>1016.4000000000001</v>
      </c>
    </row>
    <row r="222" spans="1:29" s="8" customFormat="1" x14ac:dyDescent="0.25">
      <c r="A222" s="263">
        <v>28</v>
      </c>
      <c r="B222" s="42">
        <v>43556</v>
      </c>
      <c r="C222" s="34" t="s">
        <v>11</v>
      </c>
      <c r="D222" s="42">
        <v>43686</v>
      </c>
      <c r="E222" s="139"/>
      <c r="F222" s="51">
        <v>1174</v>
      </c>
      <c r="G222" s="48" t="s">
        <v>153</v>
      </c>
      <c r="H222" s="66">
        <v>46</v>
      </c>
      <c r="I222" s="66">
        <f>5+1+1+1+1+1</f>
        <v>10</v>
      </c>
      <c r="J222" s="66">
        <f>+'INVENTARIO ABRIL-JUNIO 2021'!$H222-'INVENTARIO ABRIL-JUNIO 2021'!$I222</f>
        <v>36</v>
      </c>
      <c r="K222" s="66"/>
      <c r="L222" s="66"/>
      <c r="M222" s="66"/>
      <c r="N222" s="66"/>
      <c r="O222" s="217"/>
      <c r="P222" s="66">
        <f>1+1+1+2+2+1+3+1+1+1+1+1</f>
        <v>16</v>
      </c>
      <c r="Q222" s="66">
        <f>1+1+1+1+1+1+1+1+1+2+1+1+1</f>
        <v>14</v>
      </c>
      <c r="R222" s="66">
        <f>1+1+1+2+1</f>
        <v>6</v>
      </c>
      <c r="S222" s="66"/>
      <c r="T222" s="66"/>
      <c r="U222" s="66">
        <f>+Tabla1[[#This Row],[STOCK    FISICO ENERO 2021]]-Tabla1[[#This Row],[REQUISICIONES FEBRERO 2021]]</f>
        <v>20</v>
      </c>
      <c r="V222" s="66">
        <f>+Tabla1[[#This Row],[STOCK  FEBRERO 2021]]-Tabla1[[#This Row],[REQUISICIONES MARZO 2021]]+Tabla1[[#This Row],[ENTRADAS MARZO 2021]]</f>
        <v>6</v>
      </c>
      <c r="W222" s="66">
        <f>+Tabla1[[#This Row],[STOCK MARZO 2021]]-Tabla1[[#This Row],[REQUISICIONES ABRIL 2021]]+Tabla1[[#This Row],[ENTRADAS ABRIL 2021]]</f>
        <v>0</v>
      </c>
      <c r="X222" s="66">
        <f>+Tabla1[[#This Row],[STOCK ABRIL 2021]]-Tabla1[[#This Row],[REQUISICIONES MAYO 2021]]+Tabla1[[#This Row],[ENTRADAS MAYO 2021]]</f>
        <v>0</v>
      </c>
      <c r="Y222" s="66">
        <f>+Tabla1[[#This Row],[STOCK MAYO 2021]]-Tabla1[[#This Row],[REQUISICIONES JUNIO 2021]]+Tabla1[[#This Row],[ENTRADAS JUNIO 2021]]</f>
        <v>0</v>
      </c>
      <c r="Z222" s="48" t="s">
        <v>48</v>
      </c>
      <c r="AA222" s="52">
        <v>76.7</v>
      </c>
      <c r="AB222" s="39">
        <f t="shared" si="6"/>
        <v>90.506</v>
      </c>
      <c r="AC222" s="94">
        <f>Tabla1[[#This Row],[STOCK JUNIO ]]*Tabla1[[#This Row],[COSTO UNITARIO SIN ITBIS]]</f>
        <v>0</v>
      </c>
    </row>
    <row r="223" spans="1:29" s="8" customFormat="1" x14ac:dyDescent="0.25">
      <c r="A223" s="221">
        <v>29</v>
      </c>
      <c r="B223" s="117">
        <v>44327</v>
      </c>
      <c r="C223" s="34" t="s">
        <v>11</v>
      </c>
      <c r="D223" s="117">
        <v>44327</v>
      </c>
      <c r="E223" s="138" t="s">
        <v>869</v>
      </c>
      <c r="F223" s="197"/>
      <c r="G223" s="48" t="s">
        <v>871</v>
      </c>
      <c r="H223" s="120"/>
      <c r="I223" s="120"/>
      <c r="J223" s="120">
        <f>+'INVENTARIO ABRIL-JUNIO 2021'!$H223-'INVENTARIO ABRIL-JUNIO 2021'!$I223</f>
        <v>0</v>
      </c>
      <c r="K223" s="120"/>
      <c r="L223" s="120"/>
      <c r="M223" s="120"/>
      <c r="N223" s="126">
        <v>25</v>
      </c>
      <c r="O223" s="121"/>
      <c r="P223" s="120"/>
      <c r="Q223" s="120"/>
      <c r="R223" s="120"/>
      <c r="S223" s="120">
        <f>1+2+1+1+1+1+2+1+1+3+1</f>
        <v>15</v>
      </c>
      <c r="T223" s="120">
        <f>1+1+1+1+1+2+3</f>
        <v>10</v>
      </c>
      <c r="U223" s="121">
        <f>+Tabla1[[#This Row],[STOCK    FISICO ENERO 2021]]-Tabla1[[#This Row],[REQUISICIONES FEBRERO 2021]]</f>
        <v>0</v>
      </c>
      <c r="V223" s="121">
        <f>+Tabla1[[#This Row],[STOCK  FEBRERO 2021]]-Tabla1[[#This Row],[REQUISICIONES MARZO 2021]]+Tabla1[[#This Row],[ENTRADAS MARZO 2021]]</f>
        <v>0</v>
      </c>
      <c r="W223" s="217">
        <f>+Tabla1[[#This Row],[STOCK MARZO 2021]]-Tabla1[[#This Row],[REQUISICIONES ABRIL 2021]]+Tabla1[[#This Row],[ENTRADAS ABRIL 2021]]</f>
        <v>0</v>
      </c>
      <c r="X223" s="217">
        <f>+Tabla1[[#This Row],[STOCK ABRIL 2021]]-Tabla1[[#This Row],[REQUISICIONES MAYO 2021]]+Tabla1[[#This Row],[ENTRADAS MAYO 2021]]</f>
        <v>10</v>
      </c>
      <c r="Y223" s="217">
        <f>+Tabla1[[#This Row],[STOCK MAYO 2021]]-Tabla1[[#This Row],[REQUISICIONES JUNIO 2021]]+Tabla1[[#This Row],[ENTRADAS JUNIO 2021]]</f>
        <v>0</v>
      </c>
      <c r="Z223" s="48" t="s">
        <v>48</v>
      </c>
      <c r="AA223" s="122">
        <v>95.97</v>
      </c>
      <c r="AB223" s="39">
        <f t="shared" si="6"/>
        <v>113.24459999999999</v>
      </c>
      <c r="AC223" s="94">
        <f>Tabla1[[#This Row],[STOCK JUNIO ]]*Tabla1[[#This Row],[COSTO UNITARIO SIN ITBIS]]</f>
        <v>0</v>
      </c>
    </row>
    <row r="224" spans="1:29" s="8" customFormat="1" x14ac:dyDescent="0.25">
      <c r="A224" s="263">
        <v>30</v>
      </c>
      <c r="B224" s="310">
        <v>44363</v>
      </c>
      <c r="C224" s="34" t="s">
        <v>11</v>
      </c>
      <c r="D224" s="243">
        <v>44354</v>
      </c>
      <c r="E224" s="249" t="s">
        <v>913</v>
      </c>
      <c r="F224" s="322"/>
      <c r="G224" s="48" t="s">
        <v>916</v>
      </c>
      <c r="H224" s="245"/>
      <c r="I224" s="245"/>
      <c r="J224" s="245">
        <f>+'INVENTARIO ABRIL-JUNIO 2021'!$H224-'INVENTARIO ABRIL-JUNIO 2021'!$I224</f>
        <v>0</v>
      </c>
      <c r="K224" s="245"/>
      <c r="L224" s="245"/>
      <c r="M224" s="245"/>
      <c r="N224" s="246"/>
      <c r="O224" s="247">
        <v>100</v>
      </c>
      <c r="P224" s="245"/>
      <c r="Q224" s="245"/>
      <c r="R224" s="245"/>
      <c r="S224" s="245"/>
      <c r="T224" s="245">
        <f>1+3+3+1+5+2+1+3+3+1+1+1+3+2+5+5+5+2+3</f>
        <v>50</v>
      </c>
      <c r="U224" s="247">
        <f>+Tabla1[[#This Row],[STOCK    FISICO ENERO 2021]]-Tabla1[[#This Row],[REQUISICIONES FEBRERO 2021]]</f>
        <v>0</v>
      </c>
      <c r="V224" s="247">
        <f>+Tabla1[[#This Row],[STOCK  FEBRERO 2021]]-Tabla1[[#This Row],[REQUISICIONES MARZO 2021]]+Tabla1[[#This Row],[ENTRADAS MARZO 2021]]</f>
        <v>0</v>
      </c>
      <c r="W224" s="217">
        <f>+Tabla1[[#This Row],[STOCK MARZO 2021]]-Tabla1[[#This Row],[REQUISICIONES ABRIL 2021]]+Tabla1[[#This Row],[ENTRADAS ABRIL 2021]]</f>
        <v>0</v>
      </c>
      <c r="X224" s="217">
        <f>+Tabla1[[#This Row],[STOCK ABRIL 2021]]-Tabla1[[#This Row],[REQUISICIONES MAYO 2021]]+Tabla1[[#This Row],[ENTRADAS MAYO 2021]]</f>
        <v>0</v>
      </c>
      <c r="Y224" s="217">
        <f>+Tabla1[[#This Row],[STOCK MAYO 2021]]-Tabla1[[#This Row],[REQUISICIONES JUNIO 2021]]+Tabla1[[#This Row],[ENTRADAS JUNIO 2021]]</f>
        <v>50</v>
      </c>
      <c r="Z224" s="48" t="s">
        <v>48</v>
      </c>
      <c r="AA224" s="248">
        <v>74</v>
      </c>
      <c r="AB224" s="39">
        <f t="shared" si="6"/>
        <v>87.32</v>
      </c>
      <c r="AC224" s="94">
        <f>Tabla1[[#This Row],[STOCK JUNIO ]]*Tabla1[[#This Row],[COSTO UNITARIO SIN ITBIS]]</f>
        <v>3700</v>
      </c>
    </row>
    <row r="225" spans="1:29" s="8" customFormat="1" x14ac:dyDescent="0.25">
      <c r="A225" s="221">
        <v>31</v>
      </c>
      <c r="B225" s="42"/>
      <c r="C225" s="41" t="s">
        <v>11</v>
      </c>
      <c r="D225" s="42">
        <v>44124</v>
      </c>
      <c r="E225" s="139"/>
      <c r="F225" s="43" t="s">
        <v>20</v>
      </c>
      <c r="G225" s="40" t="s">
        <v>154</v>
      </c>
      <c r="H225" s="65">
        <v>18</v>
      </c>
      <c r="I225" s="65"/>
      <c r="J225" s="65">
        <f>+'INVENTARIO ABRIL-JUNIO 2021'!$H225-'INVENTARIO ABRIL-JUNIO 2021'!$I225</f>
        <v>18</v>
      </c>
      <c r="K225" s="65"/>
      <c r="L225" s="65"/>
      <c r="M225" s="65"/>
      <c r="N225" s="65"/>
      <c r="O225" s="215"/>
      <c r="P225" s="65"/>
      <c r="Q225" s="65">
        <v>1</v>
      </c>
      <c r="R225" s="65"/>
      <c r="S225" s="65">
        <v>1</v>
      </c>
      <c r="T225" s="65">
        <f>1+1</f>
        <v>2</v>
      </c>
      <c r="U225" s="65">
        <f>+Tabla1[[#This Row],[STOCK    FISICO ENERO 2021]]-Tabla1[[#This Row],[REQUISICIONES FEBRERO 2021]]</f>
        <v>18</v>
      </c>
      <c r="V225" s="65">
        <f>+Tabla1[[#This Row],[STOCK  FEBRERO 2021]]-Tabla1[[#This Row],[REQUISICIONES MARZO 2021]]+Tabla1[[#This Row],[ENTRADAS MARZO 2021]]</f>
        <v>17</v>
      </c>
      <c r="W225" s="65">
        <f>+Tabla1[[#This Row],[STOCK MARZO 2021]]-Tabla1[[#This Row],[REQUISICIONES ABRIL 2021]]+Tabla1[[#This Row],[ENTRADAS ABRIL 2021]]</f>
        <v>17</v>
      </c>
      <c r="X225" s="65">
        <f>+Tabla1[[#This Row],[STOCK ABRIL 2021]]-Tabla1[[#This Row],[REQUISICIONES MAYO 2021]]+Tabla1[[#This Row],[ENTRADAS MAYO 2021]]</f>
        <v>16</v>
      </c>
      <c r="Y225" s="65">
        <f>+Tabla1[[#This Row],[STOCK MAYO 2021]]-Tabla1[[#This Row],[REQUISICIONES JUNIO 2021]]+Tabla1[[#This Row],[ENTRADAS JUNIO 2021]]</f>
        <v>14</v>
      </c>
      <c r="Z225" s="40" t="s">
        <v>48</v>
      </c>
      <c r="AA225" s="45">
        <v>183</v>
      </c>
      <c r="AB225" s="39">
        <f t="shared" si="6"/>
        <v>215.94</v>
      </c>
      <c r="AC225" s="94">
        <f>Tabla1[[#This Row],[STOCK JUNIO ]]*Tabla1[[#This Row],[COSTO UNITARIO SIN ITBIS]]</f>
        <v>2562</v>
      </c>
    </row>
    <row r="226" spans="1:29" s="186" customFormat="1" x14ac:dyDescent="0.25">
      <c r="A226" s="263">
        <v>32</v>
      </c>
      <c r="B226" s="42">
        <v>44119</v>
      </c>
      <c r="C226" s="41" t="s">
        <v>11</v>
      </c>
      <c r="D226" s="42">
        <v>44119</v>
      </c>
      <c r="E226" s="139"/>
      <c r="F226" s="43" t="s">
        <v>20</v>
      </c>
      <c r="G226" s="40" t="s">
        <v>155</v>
      </c>
      <c r="H226" s="65">
        <v>6</v>
      </c>
      <c r="I226" s="65">
        <f>2+2+1</f>
        <v>5</v>
      </c>
      <c r="J226" s="65">
        <f>+'INVENTARIO ABRIL-JUNIO 2021'!$H226-'INVENTARIO ABRIL-JUNIO 2021'!$I226</f>
        <v>1</v>
      </c>
      <c r="K226" s="65"/>
      <c r="L226" s="65"/>
      <c r="M226" s="65"/>
      <c r="N226" s="65"/>
      <c r="O226" s="215"/>
      <c r="P226" s="65"/>
      <c r="Q226" s="65">
        <v>1</v>
      </c>
      <c r="R226" s="65"/>
      <c r="S226" s="65"/>
      <c r="T226" s="65"/>
      <c r="U226" s="65">
        <f>+Tabla1[[#This Row],[STOCK    FISICO ENERO 2021]]-Tabla1[[#This Row],[REQUISICIONES FEBRERO 2021]]</f>
        <v>1</v>
      </c>
      <c r="V226" s="65">
        <f>+Tabla1[[#This Row],[STOCK  FEBRERO 2021]]-Tabla1[[#This Row],[REQUISICIONES MARZO 2021]]+Tabla1[[#This Row],[ENTRADAS MARZO 2021]]</f>
        <v>0</v>
      </c>
      <c r="W226" s="65">
        <f>+Tabla1[[#This Row],[STOCK MARZO 2021]]-Tabla1[[#This Row],[REQUISICIONES ABRIL 2021]]+Tabla1[[#This Row],[ENTRADAS ABRIL 2021]]</f>
        <v>0</v>
      </c>
      <c r="X226" s="65">
        <f>+Tabla1[[#This Row],[STOCK ABRIL 2021]]-Tabla1[[#This Row],[REQUISICIONES MAYO 2021]]+Tabla1[[#This Row],[ENTRADAS MAYO 2021]]</f>
        <v>0</v>
      </c>
      <c r="Y226" s="65">
        <f>+Tabla1[[#This Row],[STOCK MAYO 2021]]-Tabla1[[#This Row],[REQUISICIONES JUNIO 2021]]+Tabla1[[#This Row],[ENTRADAS JUNIO 2021]]</f>
        <v>0</v>
      </c>
      <c r="Z226" s="40" t="s">
        <v>156</v>
      </c>
      <c r="AA226" s="45">
        <v>240</v>
      </c>
      <c r="AB226" s="39">
        <f t="shared" si="6"/>
        <v>283.2</v>
      </c>
      <c r="AC226" s="94">
        <f>Tabla1[[#This Row],[STOCK JUNIO ]]*Tabla1[[#This Row],[COSTO UNITARIO SIN ITBIS]]</f>
        <v>0</v>
      </c>
    </row>
    <row r="227" spans="1:29" s="186" customFormat="1" x14ac:dyDescent="0.25">
      <c r="A227" s="221">
        <v>33</v>
      </c>
      <c r="B227" s="117">
        <v>44327</v>
      </c>
      <c r="C227" s="41" t="s">
        <v>11</v>
      </c>
      <c r="D227" s="117">
        <v>44327</v>
      </c>
      <c r="E227" s="138" t="s">
        <v>869</v>
      </c>
      <c r="F227" s="197"/>
      <c r="G227" s="119" t="s">
        <v>872</v>
      </c>
      <c r="H227" s="120"/>
      <c r="I227" s="120"/>
      <c r="J227" s="120">
        <f>+'INVENTARIO ABRIL-JUNIO 2021'!$H227-'INVENTARIO ABRIL-JUNIO 2021'!$I227</f>
        <v>0</v>
      </c>
      <c r="K227" s="120"/>
      <c r="L227" s="120"/>
      <c r="M227" s="120"/>
      <c r="N227" s="126">
        <v>20</v>
      </c>
      <c r="O227" s="121"/>
      <c r="P227" s="120"/>
      <c r="Q227" s="120"/>
      <c r="R227" s="120"/>
      <c r="S227" s="120">
        <v>3</v>
      </c>
      <c r="T227" s="120">
        <f>4+3+2+1</f>
        <v>10</v>
      </c>
      <c r="U227" s="121">
        <f>+Tabla1[[#This Row],[STOCK    FISICO ENERO 2021]]-Tabla1[[#This Row],[REQUISICIONES FEBRERO 2021]]</f>
        <v>0</v>
      </c>
      <c r="V227" s="121">
        <f>+Tabla1[[#This Row],[STOCK  FEBRERO 2021]]-Tabla1[[#This Row],[REQUISICIONES MARZO 2021]]+Tabla1[[#This Row],[ENTRADAS MARZO 2021]]</f>
        <v>0</v>
      </c>
      <c r="W227" s="215">
        <f>+Tabla1[[#This Row],[STOCK MARZO 2021]]-Tabla1[[#This Row],[REQUISICIONES ABRIL 2021]]+Tabla1[[#This Row],[ENTRADAS ABRIL 2021]]</f>
        <v>0</v>
      </c>
      <c r="X227" s="215">
        <f>+Tabla1[[#This Row],[STOCK ABRIL 2021]]-Tabla1[[#This Row],[REQUISICIONES MAYO 2021]]+Tabla1[[#This Row],[ENTRADAS MAYO 2021]]</f>
        <v>17</v>
      </c>
      <c r="Y227" s="215">
        <f>+Tabla1[[#This Row],[STOCK MAYO 2021]]-Tabla1[[#This Row],[REQUISICIONES JUNIO 2021]]+Tabla1[[#This Row],[ENTRADAS JUNIO 2021]]</f>
        <v>7</v>
      </c>
      <c r="Z227" s="40" t="s">
        <v>156</v>
      </c>
      <c r="AA227" s="122">
        <v>44.5</v>
      </c>
      <c r="AB227" s="39">
        <f t="shared" si="6"/>
        <v>52.51</v>
      </c>
      <c r="AC227" s="94">
        <f>Tabla1[[#This Row],[STOCK JUNIO ]]*Tabla1[[#This Row],[COSTO UNITARIO SIN ITBIS]]</f>
        <v>311.5</v>
      </c>
    </row>
    <row r="228" spans="1:29" s="186" customFormat="1" x14ac:dyDescent="0.25">
      <c r="A228" s="263">
        <v>34</v>
      </c>
      <c r="B228" s="117">
        <v>44327</v>
      </c>
      <c r="C228" s="41" t="s">
        <v>11</v>
      </c>
      <c r="D228" s="117">
        <v>44327</v>
      </c>
      <c r="E228" s="138" t="s">
        <v>869</v>
      </c>
      <c r="F228" s="197"/>
      <c r="G228" s="119" t="s">
        <v>873</v>
      </c>
      <c r="H228" s="120"/>
      <c r="I228" s="120"/>
      <c r="J228" s="120">
        <f>+'INVENTARIO ABRIL-JUNIO 2021'!$H228-'INVENTARIO ABRIL-JUNIO 2021'!$I228</f>
        <v>0</v>
      </c>
      <c r="K228" s="120"/>
      <c r="L228" s="120"/>
      <c r="M228" s="120"/>
      <c r="N228" s="126">
        <v>32</v>
      </c>
      <c r="O228" s="121"/>
      <c r="P228" s="120"/>
      <c r="Q228" s="120"/>
      <c r="R228" s="120"/>
      <c r="S228" s="120">
        <f>1+2</f>
        <v>3</v>
      </c>
      <c r="T228" s="120">
        <v>1</v>
      </c>
      <c r="U228" s="121">
        <f>+Tabla1[[#This Row],[STOCK    FISICO ENERO 2021]]-Tabla1[[#This Row],[REQUISICIONES FEBRERO 2021]]</f>
        <v>0</v>
      </c>
      <c r="V228" s="121">
        <f>+Tabla1[[#This Row],[STOCK  FEBRERO 2021]]-Tabla1[[#This Row],[REQUISICIONES MARZO 2021]]+Tabla1[[#This Row],[ENTRADAS MARZO 2021]]</f>
        <v>0</v>
      </c>
      <c r="W228" s="215">
        <f>+Tabla1[[#This Row],[STOCK MARZO 2021]]-Tabla1[[#This Row],[REQUISICIONES ABRIL 2021]]+Tabla1[[#This Row],[ENTRADAS ABRIL 2021]]</f>
        <v>0</v>
      </c>
      <c r="X228" s="215">
        <f>+Tabla1[[#This Row],[STOCK ABRIL 2021]]-Tabla1[[#This Row],[REQUISICIONES MAYO 2021]]+Tabla1[[#This Row],[ENTRADAS MAYO 2021]]</f>
        <v>29</v>
      </c>
      <c r="Y228" s="215">
        <f>+Tabla1[[#This Row],[STOCK MAYO 2021]]-Tabla1[[#This Row],[REQUISICIONES JUNIO 2021]]+Tabla1[[#This Row],[ENTRADAS JUNIO 2021]]</f>
        <v>28</v>
      </c>
      <c r="Z228" s="40" t="s">
        <v>156</v>
      </c>
      <c r="AA228" s="122">
        <v>111.25</v>
      </c>
      <c r="AB228" s="39">
        <f t="shared" si="6"/>
        <v>131.27500000000001</v>
      </c>
      <c r="AC228" s="94">
        <f>Tabla1[[#This Row],[STOCK JUNIO ]]*Tabla1[[#This Row],[COSTO UNITARIO SIN ITBIS]]</f>
        <v>3115</v>
      </c>
    </row>
    <row r="229" spans="1:29" s="187" customFormat="1" x14ac:dyDescent="0.25">
      <c r="A229" s="221">
        <v>35</v>
      </c>
      <c r="B229" s="42">
        <v>43634</v>
      </c>
      <c r="C229" s="41" t="s">
        <v>11</v>
      </c>
      <c r="D229" s="42">
        <v>43686</v>
      </c>
      <c r="E229" s="139"/>
      <c r="F229" s="43">
        <v>1186</v>
      </c>
      <c r="G229" s="40" t="s">
        <v>157</v>
      </c>
      <c r="H229" s="65">
        <v>0</v>
      </c>
      <c r="I229" s="65"/>
      <c r="J229" s="65">
        <f>+'INVENTARIO ABRIL-JUNIO 2021'!$H229-'INVENTARIO ABRIL-JUNIO 2021'!$I229</f>
        <v>0</v>
      </c>
      <c r="K229" s="65"/>
      <c r="L229" s="65"/>
      <c r="M229" s="65"/>
      <c r="N229" s="65"/>
      <c r="O229" s="215"/>
      <c r="P229" s="65"/>
      <c r="Q229" s="65"/>
      <c r="R229" s="65"/>
      <c r="S229" s="65"/>
      <c r="T229" s="65"/>
      <c r="U229" s="65">
        <f>+Tabla1[[#This Row],[STOCK    FISICO ENERO 2021]]-Tabla1[[#This Row],[REQUISICIONES FEBRERO 2021]]</f>
        <v>0</v>
      </c>
      <c r="V229" s="65">
        <f>+Tabla1[[#This Row],[STOCK  FEBRERO 2021]]-Tabla1[[#This Row],[REQUISICIONES MARZO 2021]]+Tabla1[[#This Row],[ENTRADAS MARZO 2021]]</f>
        <v>0</v>
      </c>
      <c r="W229" s="65">
        <f>+Tabla1[[#This Row],[STOCK MARZO 2021]]-Tabla1[[#This Row],[REQUISICIONES ABRIL 2021]]+Tabla1[[#This Row],[ENTRADAS ABRIL 2021]]</f>
        <v>0</v>
      </c>
      <c r="X229" s="65">
        <f>+Tabla1[[#This Row],[STOCK ABRIL 2021]]-Tabla1[[#This Row],[REQUISICIONES MAYO 2021]]+Tabla1[[#This Row],[ENTRADAS MAYO 2021]]</f>
        <v>0</v>
      </c>
      <c r="Y229" s="65">
        <f>+Tabla1[[#This Row],[STOCK MAYO 2021]]-Tabla1[[#This Row],[REQUISICIONES JUNIO 2021]]+Tabla1[[#This Row],[ENTRADAS JUNIO 2021]]</f>
        <v>0</v>
      </c>
      <c r="Z229" s="40" t="s">
        <v>158</v>
      </c>
      <c r="AA229" s="45">
        <v>383.5</v>
      </c>
      <c r="AB229" s="39">
        <f t="shared" si="6"/>
        <v>452.53</v>
      </c>
      <c r="AC229" s="94">
        <f>Tabla1[[#This Row],[STOCK JUNIO ]]*Tabla1[[#This Row],[COSTO UNITARIO SIN ITBIS]]</f>
        <v>0</v>
      </c>
    </row>
    <row r="230" spans="1:29" s="187" customFormat="1" x14ac:dyDescent="0.25">
      <c r="A230" s="263">
        <v>36</v>
      </c>
      <c r="B230" s="117">
        <v>44327</v>
      </c>
      <c r="C230" s="41" t="s">
        <v>11</v>
      </c>
      <c r="D230" s="117">
        <v>44327</v>
      </c>
      <c r="E230" s="138" t="s">
        <v>869</v>
      </c>
      <c r="F230" s="197"/>
      <c r="G230" s="40" t="s">
        <v>874</v>
      </c>
      <c r="H230" s="120"/>
      <c r="I230" s="120"/>
      <c r="J230" s="120">
        <f>+'INVENTARIO ABRIL-JUNIO 2021'!$H230-'INVENTARIO ABRIL-JUNIO 2021'!$I230</f>
        <v>0</v>
      </c>
      <c r="K230" s="120"/>
      <c r="L230" s="120"/>
      <c r="M230" s="120"/>
      <c r="N230" s="126">
        <v>6</v>
      </c>
      <c r="O230" s="121"/>
      <c r="P230" s="120"/>
      <c r="Q230" s="120"/>
      <c r="R230" s="120"/>
      <c r="S230" s="120">
        <f>2+1</f>
        <v>3</v>
      </c>
      <c r="T230" s="120">
        <f>1+2</f>
        <v>3</v>
      </c>
      <c r="U230" s="121">
        <f>+Tabla1[[#This Row],[STOCK    FISICO ENERO 2021]]-Tabla1[[#This Row],[REQUISICIONES FEBRERO 2021]]</f>
        <v>0</v>
      </c>
      <c r="V230" s="121">
        <f>+Tabla1[[#This Row],[STOCK  FEBRERO 2021]]-Tabla1[[#This Row],[REQUISICIONES MARZO 2021]]+Tabla1[[#This Row],[ENTRADAS MARZO 2021]]</f>
        <v>0</v>
      </c>
      <c r="W230" s="215">
        <f>+Tabla1[[#This Row],[STOCK MARZO 2021]]-Tabla1[[#This Row],[REQUISICIONES ABRIL 2021]]+Tabla1[[#This Row],[ENTRADAS ABRIL 2021]]</f>
        <v>0</v>
      </c>
      <c r="X230" s="215">
        <f>+Tabla1[[#This Row],[STOCK ABRIL 2021]]-Tabla1[[#This Row],[REQUISICIONES MAYO 2021]]+Tabla1[[#This Row],[ENTRADAS MAYO 2021]]</f>
        <v>3</v>
      </c>
      <c r="Y230" s="215">
        <f>+Tabla1[[#This Row],[STOCK MAYO 2021]]-Tabla1[[#This Row],[REQUISICIONES JUNIO 2021]]+Tabla1[[#This Row],[ENTRADAS JUNIO 2021]]</f>
        <v>0</v>
      </c>
      <c r="Z230" s="40" t="s">
        <v>158</v>
      </c>
      <c r="AA230" s="122">
        <f>3298.75/6</f>
        <v>549.79166666666663</v>
      </c>
      <c r="AB230" s="39">
        <f t="shared" si="6"/>
        <v>648.75416666666661</v>
      </c>
      <c r="AC230" s="94">
        <f>Tabla1[[#This Row],[STOCK JUNIO ]]*Tabla1[[#This Row],[COSTO UNITARIO SIN ITBIS]]</f>
        <v>0</v>
      </c>
    </row>
    <row r="231" spans="1:29" s="187" customFormat="1" x14ac:dyDescent="0.25">
      <c r="A231" s="221">
        <v>37</v>
      </c>
      <c r="B231" s="310">
        <v>44370</v>
      </c>
      <c r="C231" s="41" t="s">
        <v>11</v>
      </c>
      <c r="D231" s="243">
        <v>44370</v>
      </c>
      <c r="E231" s="249" t="s">
        <v>918</v>
      </c>
      <c r="F231" s="322"/>
      <c r="G231" s="40" t="s">
        <v>921</v>
      </c>
      <c r="H231" s="245"/>
      <c r="I231" s="245"/>
      <c r="J231" s="245">
        <f>+'INVENTARIO ABRIL-JUNIO 2021'!$H231-'INVENTARIO ABRIL-JUNIO 2021'!$I231</f>
        <v>0</v>
      </c>
      <c r="K231" s="245"/>
      <c r="L231" s="245"/>
      <c r="M231" s="245"/>
      <c r="N231" s="246"/>
      <c r="O231" s="247">
        <v>45</v>
      </c>
      <c r="P231" s="245"/>
      <c r="Q231" s="245"/>
      <c r="R231" s="245"/>
      <c r="S231" s="245"/>
      <c r="T231" s="245"/>
      <c r="U231" s="247">
        <f>+Tabla1[[#This Row],[STOCK    FISICO ENERO 2021]]-Tabla1[[#This Row],[REQUISICIONES FEBRERO 2021]]</f>
        <v>0</v>
      </c>
      <c r="V231" s="247">
        <f>+Tabla1[[#This Row],[STOCK  FEBRERO 2021]]-Tabla1[[#This Row],[REQUISICIONES MARZO 2021]]+Tabla1[[#This Row],[ENTRADAS MARZO 2021]]</f>
        <v>0</v>
      </c>
      <c r="W231" s="215">
        <f>+Tabla1[[#This Row],[STOCK MARZO 2021]]-Tabla1[[#This Row],[REQUISICIONES ABRIL 2021]]+Tabla1[[#This Row],[ENTRADAS ABRIL 2021]]</f>
        <v>0</v>
      </c>
      <c r="X231" s="215">
        <f>+Tabla1[[#This Row],[STOCK ABRIL 2021]]-Tabla1[[#This Row],[REQUISICIONES MAYO 2021]]+Tabla1[[#This Row],[ENTRADAS MAYO 2021]]</f>
        <v>0</v>
      </c>
      <c r="Y231" s="215">
        <f>+Tabla1[[#This Row],[STOCK MAYO 2021]]-Tabla1[[#This Row],[REQUISICIONES JUNIO 2021]]+Tabla1[[#This Row],[ENTRADAS JUNIO 2021]]</f>
        <v>45</v>
      </c>
      <c r="Z231" s="40" t="s">
        <v>158</v>
      </c>
      <c r="AA231" s="122">
        <v>429.65</v>
      </c>
      <c r="AB231" s="39">
        <f t="shared" si="6"/>
        <v>506.98699999999997</v>
      </c>
      <c r="AC231" s="94">
        <f>Tabla1[[#This Row],[STOCK JUNIO ]]*Tabla1[[#This Row],[COSTO UNITARIO SIN ITBIS]]</f>
        <v>19334.25</v>
      </c>
    </row>
    <row r="232" spans="1:29" s="11" customFormat="1" x14ac:dyDescent="0.25">
      <c r="A232" s="263">
        <v>38</v>
      </c>
      <c r="B232" s="42">
        <v>43637</v>
      </c>
      <c r="C232" s="41" t="s">
        <v>11</v>
      </c>
      <c r="D232" s="42">
        <v>43634</v>
      </c>
      <c r="E232" s="139"/>
      <c r="F232" s="43">
        <v>1187</v>
      </c>
      <c r="G232" s="40" t="s">
        <v>159</v>
      </c>
      <c r="H232" s="65">
        <v>8</v>
      </c>
      <c r="I232" s="65">
        <f>1+1</f>
        <v>2</v>
      </c>
      <c r="J232" s="65">
        <f>+'INVENTARIO ABRIL-JUNIO 2021'!$H232-'INVENTARIO ABRIL-JUNIO 2021'!$I232</f>
        <v>6</v>
      </c>
      <c r="K232" s="65"/>
      <c r="L232" s="65"/>
      <c r="M232" s="65"/>
      <c r="N232" s="65"/>
      <c r="O232" s="215"/>
      <c r="P232" s="65">
        <f>2+1+1+1+1</f>
        <v>6</v>
      </c>
      <c r="Q232" s="65"/>
      <c r="R232" s="65"/>
      <c r="S232" s="65"/>
      <c r="T232" s="65"/>
      <c r="U232" s="65">
        <f>+Tabla1[[#This Row],[STOCK    FISICO ENERO 2021]]-Tabla1[[#This Row],[REQUISICIONES FEBRERO 2021]]</f>
        <v>0</v>
      </c>
      <c r="V232" s="65">
        <f>+Tabla1[[#This Row],[STOCK  FEBRERO 2021]]-Tabla1[[#This Row],[REQUISICIONES MARZO 2021]]+Tabla1[[#This Row],[ENTRADAS MARZO 2021]]</f>
        <v>0</v>
      </c>
      <c r="W232" s="65">
        <f>+Tabla1[[#This Row],[STOCK MARZO 2021]]-Tabla1[[#This Row],[REQUISICIONES ABRIL 2021]]+Tabla1[[#This Row],[ENTRADAS ABRIL 2021]]</f>
        <v>0</v>
      </c>
      <c r="X232" s="65">
        <f>+Tabla1[[#This Row],[STOCK ABRIL 2021]]-Tabla1[[#This Row],[REQUISICIONES MAYO 2021]]+Tabla1[[#This Row],[ENTRADAS MAYO 2021]]</f>
        <v>0</v>
      </c>
      <c r="Y232" s="65">
        <f>+Tabla1[[#This Row],[STOCK MAYO 2021]]-Tabla1[[#This Row],[REQUISICIONES JUNIO 2021]]+Tabla1[[#This Row],[ENTRADAS JUNIO 2021]]</f>
        <v>0</v>
      </c>
      <c r="Z232" s="40" t="s">
        <v>156</v>
      </c>
      <c r="AA232" s="45">
        <v>240</v>
      </c>
      <c r="AB232" s="39">
        <f t="shared" si="6"/>
        <v>283.2</v>
      </c>
      <c r="AC232" s="94">
        <f>Tabla1[[#This Row],[STOCK JUNIO ]]*Tabla1[[#This Row],[COSTO UNITARIO SIN ITBIS]]</f>
        <v>0</v>
      </c>
    </row>
    <row r="233" spans="1:29" s="8" customFormat="1" x14ac:dyDescent="0.25">
      <c r="A233" s="221">
        <v>39</v>
      </c>
      <c r="B233" s="42">
        <v>43637</v>
      </c>
      <c r="C233" s="34" t="s">
        <v>11</v>
      </c>
      <c r="D233" s="42">
        <v>43686</v>
      </c>
      <c r="E233" s="139"/>
      <c r="F233" s="51">
        <v>1246</v>
      </c>
      <c r="G233" s="48" t="s">
        <v>160</v>
      </c>
      <c r="H233" s="66">
        <f>57+150+3900</f>
        <v>4107</v>
      </c>
      <c r="I233" s="66">
        <f>10+50+1+1+15+2+2+1+2+15</f>
        <v>99</v>
      </c>
      <c r="J233" s="66">
        <f>+'INVENTARIO ABRIL-JUNIO 2021'!$H233-'INVENTARIO ABRIL-JUNIO 2021'!$I233</f>
        <v>4008</v>
      </c>
      <c r="K233" s="66"/>
      <c r="L233" s="66"/>
      <c r="M233" s="66"/>
      <c r="N233" s="66"/>
      <c r="O233" s="217"/>
      <c r="P233" s="66">
        <f>2+15+3+2+20+10+2+2+2+15+30+2+3+2+20+2+2+10</f>
        <v>144</v>
      </c>
      <c r="Q233" s="66">
        <f>15+1+10+2+1+1+15+1+2+2+2+15+3+1+15+2+15+2</f>
        <v>105</v>
      </c>
      <c r="R233" s="66">
        <f>3+15+2+2+15+1+2+2+2+2+10+15+1+2+2+2+2+1+1+10+2+3+15+2+1+15+2+2+1+2+1+1</f>
        <v>139</v>
      </c>
      <c r="S233" s="66">
        <f>3+15+1+4+2+2+1+15+2+15+1+1+3+5+1+15+3+1+2+2+1+2+15+1+15+2+15+1+3+2+1+15+3+15+2+2</f>
        <v>189</v>
      </c>
      <c r="T233" s="66">
        <f>1+1+1+1+3+15+15+2+2+2+25+50+30+30+1+15+15+2+30+12+15+3+2+30+2+1+15+12+1+15+1+15+3+2+1+15+2+2+15+1</f>
        <v>406</v>
      </c>
      <c r="U233" s="66">
        <f>+Tabla1[[#This Row],[STOCK    FISICO ENERO 2021]]-Tabla1[[#This Row],[REQUISICIONES FEBRERO 2021]]</f>
        <v>3864</v>
      </c>
      <c r="V233" s="66">
        <f>+Tabla1[[#This Row],[STOCK  FEBRERO 2021]]-Tabla1[[#This Row],[REQUISICIONES MARZO 2021]]+Tabla1[[#This Row],[ENTRADAS MARZO 2021]]</f>
        <v>3759</v>
      </c>
      <c r="W233" s="66">
        <f>+Tabla1[[#This Row],[STOCK MARZO 2021]]-Tabla1[[#This Row],[REQUISICIONES ABRIL 2021]]+Tabla1[[#This Row],[ENTRADAS ABRIL 2021]]</f>
        <v>3620</v>
      </c>
      <c r="X233" s="66">
        <f>+Tabla1[[#This Row],[STOCK ABRIL 2021]]-Tabla1[[#This Row],[REQUISICIONES MAYO 2021]]+Tabla1[[#This Row],[ENTRADAS MAYO 2021]]</f>
        <v>3431</v>
      </c>
      <c r="Y233" s="66">
        <f>+Tabla1[[#This Row],[STOCK MAYO 2021]]-Tabla1[[#This Row],[REQUISICIONES JUNIO 2021]]+Tabla1[[#This Row],[ENTRADAS JUNIO 2021]]</f>
        <v>3025</v>
      </c>
      <c r="Z233" s="48" t="s">
        <v>48</v>
      </c>
      <c r="AA233" s="52">
        <v>56.64</v>
      </c>
      <c r="AB233" s="39">
        <f t="shared" si="6"/>
        <v>66.8352</v>
      </c>
      <c r="AC233" s="94">
        <f>Tabla1[[#This Row],[STOCK JUNIO ]]*Tabla1[[#This Row],[COSTO UNITARIO SIN ITBIS]]</f>
        <v>171336</v>
      </c>
    </row>
    <row r="234" spans="1:29" x14ac:dyDescent="0.25">
      <c r="A234" s="263">
        <v>40</v>
      </c>
      <c r="B234" s="42">
        <v>43637</v>
      </c>
      <c r="C234" s="41" t="s">
        <v>11</v>
      </c>
      <c r="D234" s="42">
        <v>43634</v>
      </c>
      <c r="E234" s="139"/>
      <c r="F234" s="43">
        <v>1254</v>
      </c>
      <c r="G234" s="40" t="s">
        <v>728</v>
      </c>
      <c r="H234" s="67">
        <f>139+288</f>
        <v>427</v>
      </c>
      <c r="I234" s="67">
        <f>10+25+15+15</f>
        <v>65</v>
      </c>
      <c r="J234" s="67">
        <f>+'INVENTARIO ABRIL-JUNIO 2021'!$H234-'INVENTARIO ABRIL-JUNIO 2021'!$I234</f>
        <v>362</v>
      </c>
      <c r="K234" s="67"/>
      <c r="L234" s="67"/>
      <c r="M234" s="67"/>
      <c r="N234" s="67"/>
      <c r="O234" s="199"/>
      <c r="P234" s="67">
        <f>2+15+10+15+30+15+10</f>
        <v>97</v>
      </c>
      <c r="Q234" s="67">
        <f>15+2+15+2+15+15+15+1</f>
        <v>80</v>
      </c>
      <c r="R234" s="67">
        <f>10+15+20+15+2</f>
        <v>62</v>
      </c>
      <c r="S234" s="67">
        <f>15+8+1+1+15+15+15+10+2+15+15</f>
        <v>112</v>
      </c>
      <c r="T234" s="67">
        <f>1+7+3</f>
        <v>11</v>
      </c>
      <c r="U234" s="67">
        <f>+Tabla1[[#This Row],[STOCK    FISICO ENERO 2021]]-Tabla1[[#This Row],[REQUISICIONES FEBRERO 2021]]</f>
        <v>265</v>
      </c>
      <c r="V234" s="67">
        <f>+Tabla1[[#This Row],[STOCK  FEBRERO 2021]]-Tabla1[[#This Row],[REQUISICIONES MARZO 2021]]+Tabla1[[#This Row],[ENTRADAS MARZO 2021]]</f>
        <v>185</v>
      </c>
      <c r="W234" s="67">
        <f>+Tabla1[[#This Row],[STOCK MARZO 2021]]-Tabla1[[#This Row],[REQUISICIONES ABRIL 2021]]+Tabla1[[#This Row],[ENTRADAS ABRIL 2021]]</f>
        <v>123</v>
      </c>
      <c r="X234" s="67">
        <f>+Tabla1[[#This Row],[STOCK ABRIL 2021]]-Tabla1[[#This Row],[REQUISICIONES MAYO 2021]]+Tabla1[[#This Row],[ENTRADAS MAYO 2021]]</f>
        <v>11</v>
      </c>
      <c r="Y234" s="67">
        <f>+Tabla1[[#This Row],[STOCK MAYO 2021]]-Tabla1[[#This Row],[REQUISICIONES JUNIO 2021]]+Tabla1[[#This Row],[ENTRADAS JUNIO 2021]]</f>
        <v>0</v>
      </c>
      <c r="Z234" s="40" t="s">
        <v>48</v>
      </c>
      <c r="AA234" s="45">
        <v>113.95</v>
      </c>
      <c r="AB234" s="39">
        <f t="shared" si="6"/>
        <v>134.46100000000001</v>
      </c>
      <c r="AC234" s="94">
        <f>Tabla1[[#This Row],[STOCK JUNIO ]]*Tabla1[[#This Row],[COSTO UNITARIO SIN ITBIS]]</f>
        <v>0</v>
      </c>
    </row>
    <row r="235" spans="1:29" x14ac:dyDescent="0.25">
      <c r="A235" s="221">
        <v>41</v>
      </c>
      <c r="B235" s="310">
        <v>44363</v>
      </c>
      <c r="C235" s="41" t="s">
        <v>11</v>
      </c>
      <c r="D235" s="243">
        <v>44354</v>
      </c>
      <c r="E235" s="249" t="s">
        <v>913</v>
      </c>
      <c r="F235" s="322"/>
      <c r="G235" s="40" t="s">
        <v>914</v>
      </c>
      <c r="H235" s="245"/>
      <c r="I235" s="245"/>
      <c r="J235" s="245">
        <f>+'INVENTARIO ABRIL-JUNIO 2021'!$H235-'INVENTARIO ABRIL-JUNIO 2021'!$I235</f>
        <v>0</v>
      </c>
      <c r="K235" s="245"/>
      <c r="L235" s="245"/>
      <c r="M235" s="245"/>
      <c r="N235" s="246"/>
      <c r="O235" s="247">
        <f>60*20</f>
        <v>1200</v>
      </c>
      <c r="P235" s="245"/>
      <c r="Q235" s="245"/>
      <c r="R235" s="245"/>
      <c r="S235" s="245"/>
      <c r="T235" s="245">
        <f>30+12+15+30+15+15+9+1+15+12+25+20+30+30+15+15+15</f>
        <v>304</v>
      </c>
      <c r="U235" s="247">
        <f>+Tabla1[[#This Row],[STOCK    FISICO ENERO 2021]]-Tabla1[[#This Row],[REQUISICIONES FEBRERO 2021]]</f>
        <v>0</v>
      </c>
      <c r="V235" s="247">
        <f>+Tabla1[[#This Row],[STOCK  FEBRERO 2021]]-Tabla1[[#This Row],[REQUISICIONES MARZO 2021]]+Tabla1[[#This Row],[ENTRADAS MARZO 2021]]</f>
        <v>0</v>
      </c>
      <c r="W235" s="199">
        <f>+Tabla1[[#This Row],[STOCK MARZO 2021]]-Tabla1[[#This Row],[REQUISICIONES ABRIL 2021]]+Tabla1[[#This Row],[ENTRADAS ABRIL 2021]]</f>
        <v>0</v>
      </c>
      <c r="X235" s="199">
        <f>+Tabla1[[#This Row],[STOCK ABRIL 2021]]-Tabla1[[#This Row],[REQUISICIONES MAYO 2021]]+Tabla1[[#This Row],[ENTRADAS MAYO 2021]]</f>
        <v>0</v>
      </c>
      <c r="Y235" s="199">
        <f>+Tabla1[[#This Row],[STOCK MAYO 2021]]-Tabla1[[#This Row],[REQUISICIONES JUNIO 2021]]+Tabla1[[#This Row],[ENTRADAS JUNIO 2021]]</f>
        <v>896</v>
      </c>
      <c r="Z235" s="40" t="s">
        <v>48</v>
      </c>
      <c r="AA235" s="248">
        <v>139.25</v>
      </c>
      <c r="AB235" s="39">
        <f t="shared" si="6"/>
        <v>164.315</v>
      </c>
      <c r="AC235" s="94">
        <f>Tabla1[[#This Row],[STOCK JUNIO ]]*Tabla1[[#This Row],[COSTO UNITARIO SIN ITBIS]]</f>
        <v>124768</v>
      </c>
    </row>
    <row r="236" spans="1:29" x14ac:dyDescent="0.25">
      <c r="A236" s="263">
        <v>42</v>
      </c>
      <c r="B236" s="310">
        <v>44364</v>
      </c>
      <c r="C236" s="41" t="s">
        <v>11</v>
      </c>
      <c r="D236" s="243">
        <v>44364</v>
      </c>
      <c r="E236" s="249" t="s">
        <v>918</v>
      </c>
      <c r="F236" s="322"/>
      <c r="G236" s="48" t="s">
        <v>920</v>
      </c>
      <c r="H236" s="245"/>
      <c r="I236" s="245"/>
      <c r="J236" s="245">
        <f>+'INVENTARIO ABRIL-JUNIO 2021'!$H236-'INVENTARIO ABRIL-JUNIO 2021'!$I236</f>
        <v>0</v>
      </c>
      <c r="K236" s="245"/>
      <c r="L236" s="245"/>
      <c r="M236" s="245"/>
      <c r="N236" s="246"/>
      <c r="O236" s="247">
        <v>30</v>
      </c>
      <c r="P236" s="245"/>
      <c r="Q236" s="245"/>
      <c r="R236" s="245"/>
      <c r="S236" s="245"/>
      <c r="T236" s="245"/>
      <c r="U236" s="247">
        <f>+Tabla1[[#This Row],[STOCK    FISICO ENERO 2021]]-Tabla1[[#This Row],[REQUISICIONES FEBRERO 2021]]</f>
        <v>0</v>
      </c>
      <c r="V236" s="247">
        <f>+Tabla1[[#This Row],[STOCK  FEBRERO 2021]]-Tabla1[[#This Row],[REQUISICIONES MARZO 2021]]+Tabla1[[#This Row],[ENTRADAS MARZO 2021]]</f>
        <v>0</v>
      </c>
      <c r="W236" s="199">
        <f>+Tabla1[[#This Row],[STOCK MARZO 2021]]-Tabla1[[#This Row],[REQUISICIONES ABRIL 2021]]+Tabla1[[#This Row],[ENTRADAS ABRIL 2021]]</f>
        <v>0</v>
      </c>
      <c r="X236" s="199">
        <f>+Tabla1[[#This Row],[STOCK ABRIL 2021]]-Tabla1[[#This Row],[REQUISICIONES MAYO 2021]]+Tabla1[[#This Row],[ENTRADAS MAYO 2021]]</f>
        <v>0</v>
      </c>
      <c r="Y236" s="199">
        <f>+Tabla1[[#This Row],[STOCK MAYO 2021]]-Tabla1[[#This Row],[REQUISICIONES JUNIO 2021]]+Tabla1[[#This Row],[ENTRADAS JUNIO 2021]]</f>
        <v>30</v>
      </c>
      <c r="Z236" s="40" t="s">
        <v>48</v>
      </c>
      <c r="AA236" s="122">
        <v>114.4</v>
      </c>
      <c r="AB236" s="39">
        <f t="shared" si="6"/>
        <v>134.99200000000002</v>
      </c>
      <c r="AC236" s="94">
        <f>Tabla1[[#This Row],[STOCK JUNIO ]]*Tabla1[[#This Row],[COSTO UNITARIO SIN ITBIS]]</f>
        <v>3432</v>
      </c>
    </row>
    <row r="237" spans="1:29" x14ac:dyDescent="0.25">
      <c r="A237" s="221">
        <v>43</v>
      </c>
      <c r="B237" s="42">
        <v>44123</v>
      </c>
      <c r="C237" s="34" t="s">
        <v>11</v>
      </c>
      <c r="D237" s="42">
        <v>44123</v>
      </c>
      <c r="E237" s="139"/>
      <c r="F237" s="51" t="s">
        <v>20</v>
      </c>
      <c r="G237" s="48" t="s">
        <v>161</v>
      </c>
      <c r="H237" s="62">
        <v>47</v>
      </c>
      <c r="I237" s="62"/>
      <c r="J237" s="62">
        <f>+'INVENTARIO ABRIL-JUNIO 2021'!$H237-'INVENTARIO ABRIL-JUNIO 2021'!$I237</f>
        <v>47</v>
      </c>
      <c r="K237" s="62"/>
      <c r="L237" s="62"/>
      <c r="M237" s="62"/>
      <c r="N237" s="62"/>
      <c r="O237" s="185"/>
      <c r="P237" s="62">
        <f>1+2+2</f>
        <v>5</v>
      </c>
      <c r="Q237" s="62">
        <f>1+1+4</f>
        <v>6</v>
      </c>
      <c r="R237" s="62"/>
      <c r="S237" s="62"/>
      <c r="T237" s="62">
        <v>1</v>
      </c>
      <c r="U237" s="62">
        <f>+Tabla1[[#This Row],[STOCK    FISICO ENERO 2021]]-Tabla1[[#This Row],[REQUISICIONES FEBRERO 2021]]</f>
        <v>42</v>
      </c>
      <c r="V237" s="62">
        <f>+Tabla1[[#This Row],[STOCK  FEBRERO 2021]]-Tabla1[[#This Row],[REQUISICIONES MARZO 2021]]+Tabla1[[#This Row],[ENTRADAS MARZO 2021]]</f>
        <v>36</v>
      </c>
      <c r="W237" s="62">
        <f>+Tabla1[[#This Row],[STOCK MARZO 2021]]-Tabla1[[#This Row],[REQUISICIONES ABRIL 2021]]+Tabla1[[#This Row],[ENTRADAS ABRIL 2021]]</f>
        <v>36</v>
      </c>
      <c r="X237" s="62">
        <f>+Tabla1[[#This Row],[STOCK ABRIL 2021]]-Tabla1[[#This Row],[REQUISICIONES MAYO 2021]]+Tabla1[[#This Row],[ENTRADAS MAYO 2021]]</f>
        <v>36</v>
      </c>
      <c r="Y237" s="62">
        <f>+Tabla1[[#This Row],[STOCK MAYO 2021]]-Tabla1[[#This Row],[REQUISICIONES JUNIO 2021]]+Tabla1[[#This Row],[ENTRADAS JUNIO 2021]]</f>
        <v>35</v>
      </c>
      <c r="Z237" s="48" t="s">
        <v>48</v>
      </c>
      <c r="AA237" s="52">
        <v>63</v>
      </c>
      <c r="AB237" s="39">
        <f t="shared" si="6"/>
        <v>74.34</v>
      </c>
      <c r="AC237" s="94">
        <f>Tabla1[[#This Row],[STOCK JUNIO ]]*Tabla1[[#This Row],[COSTO UNITARIO SIN ITBIS]]</f>
        <v>2205</v>
      </c>
    </row>
    <row r="238" spans="1:29" s="10" customFormat="1" ht="15.75" thickBot="1" x14ac:dyDescent="0.3">
      <c r="A238" s="57"/>
      <c r="B238" s="56"/>
      <c r="C238" s="56"/>
      <c r="D238" s="56"/>
      <c r="E238" s="141"/>
      <c r="F238" s="56"/>
      <c r="G238" s="56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6"/>
      <c r="AA238" s="58"/>
      <c r="AB238" s="58" t="s">
        <v>708</v>
      </c>
      <c r="AC238" s="242">
        <f>SUM(AC195:AC237)</f>
        <v>819676.12000000011</v>
      </c>
    </row>
    <row r="239" spans="1:29" ht="15.75" thickTop="1" x14ac:dyDescent="0.25">
      <c r="A239" s="262" t="s">
        <v>162</v>
      </c>
      <c r="B239" s="61"/>
      <c r="C239" s="61"/>
      <c r="D239" s="61"/>
      <c r="E239" s="96"/>
      <c r="F239" s="61"/>
      <c r="G239" s="61"/>
      <c r="H239" s="61"/>
      <c r="I239" s="61"/>
      <c r="J239" s="61"/>
      <c r="K239" s="61"/>
      <c r="L239" s="61"/>
      <c r="M239" s="61"/>
      <c r="N239" s="61"/>
      <c r="O239" s="262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</row>
    <row r="240" spans="1:29" s="12" customFormat="1" x14ac:dyDescent="0.25">
      <c r="A240" s="261">
        <v>1</v>
      </c>
      <c r="B240" s="42">
        <v>44109</v>
      </c>
      <c r="C240" s="41" t="s">
        <v>11</v>
      </c>
      <c r="D240" s="42">
        <v>44109</v>
      </c>
      <c r="E240" s="139"/>
      <c r="F240" s="43" t="s">
        <v>20</v>
      </c>
      <c r="G240" s="40" t="s">
        <v>625</v>
      </c>
      <c r="H240" s="65">
        <f>142+48</f>
        <v>190</v>
      </c>
      <c r="I240" s="65">
        <v>3</v>
      </c>
      <c r="J240" s="65">
        <f>+'INVENTARIO ABRIL-JUNIO 2021'!$H240-'INVENTARIO ABRIL-JUNIO 2021'!$I240</f>
        <v>187</v>
      </c>
      <c r="K240" s="65"/>
      <c r="L240" s="65"/>
      <c r="M240" s="65"/>
      <c r="N240" s="65"/>
      <c r="O240" s="215"/>
      <c r="P240" s="65">
        <f>1+1+2+1+2</f>
        <v>7</v>
      </c>
      <c r="Q240" s="65">
        <v>2</v>
      </c>
      <c r="R240" s="65">
        <f>1+1+1+2</f>
        <v>5</v>
      </c>
      <c r="S240" s="65">
        <f>1+1+4+3</f>
        <v>9</v>
      </c>
      <c r="T240" s="65">
        <v>2</v>
      </c>
      <c r="U240" s="65">
        <f>+Tabla1[[#This Row],[STOCK    FISICO ENERO 2021]]-Tabla1[[#This Row],[REQUISICIONES FEBRERO 2021]]</f>
        <v>180</v>
      </c>
      <c r="V240" s="65">
        <f>+Tabla1[[#This Row],[STOCK  FEBRERO 2021]]-Tabla1[[#This Row],[REQUISICIONES MARZO 2021]]+Tabla1[[#This Row],[ENTRADAS MARZO 2021]]</f>
        <v>178</v>
      </c>
      <c r="W240" s="65">
        <f>+Tabla1[[#This Row],[STOCK MARZO 2021]]-Tabla1[[#This Row],[REQUISICIONES ABRIL 2021]]+Tabla1[[#This Row],[ENTRADAS ABRIL 2021]]</f>
        <v>173</v>
      </c>
      <c r="X240" s="65">
        <f>+Tabla1[[#This Row],[STOCK ABRIL 2021]]-Tabla1[[#This Row],[REQUISICIONES MAYO 2021]]+Tabla1[[#This Row],[ENTRADAS MAYO 2021]]</f>
        <v>164</v>
      </c>
      <c r="Y240" s="65">
        <f>+Tabla1[[#This Row],[STOCK MAYO 2021]]-Tabla1[[#This Row],[REQUISICIONES JUNIO 2021]]+Tabla1[[#This Row],[ENTRADAS JUNIO 2021]]</f>
        <v>162</v>
      </c>
      <c r="Z240" s="40" t="s">
        <v>12</v>
      </c>
      <c r="AA240" s="45">
        <v>91</v>
      </c>
      <c r="AB240" s="35">
        <f t="shared" ref="AB240:AB251" si="7">+AA240*0.18+AA240</f>
        <v>107.38</v>
      </c>
      <c r="AC240" s="94">
        <f>Tabla1[[#This Row],[STOCK JUNIO ]]*Tabla1[[#This Row],[COSTO UNITARIO SIN ITBIS]]</f>
        <v>14742</v>
      </c>
    </row>
    <row r="241" spans="1:29" s="10" customFormat="1" x14ac:dyDescent="0.25">
      <c r="A241" s="261">
        <v>2</v>
      </c>
      <c r="B241" s="42">
        <v>44167</v>
      </c>
      <c r="C241" s="41" t="s">
        <v>11</v>
      </c>
      <c r="D241" s="42">
        <v>44159</v>
      </c>
      <c r="E241" s="139"/>
      <c r="F241" s="43"/>
      <c r="G241" s="40" t="s">
        <v>163</v>
      </c>
      <c r="H241" s="67">
        <v>30</v>
      </c>
      <c r="I241" s="67">
        <f>1+1+1</f>
        <v>3</v>
      </c>
      <c r="J241" s="67">
        <f>+'INVENTARIO ABRIL-JUNIO 2021'!$H241-'INVENTARIO ABRIL-JUNIO 2021'!$I241</f>
        <v>27</v>
      </c>
      <c r="K241" s="67"/>
      <c r="L241" s="67"/>
      <c r="M241" s="67"/>
      <c r="N241" s="67"/>
      <c r="O241" s="199"/>
      <c r="P241" s="67">
        <f>1+1+1+2+1+1+1+1+1+1+1+1+1</f>
        <v>14</v>
      </c>
      <c r="Q241" s="67">
        <f>1+1+1+1+2</f>
        <v>6</v>
      </c>
      <c r="R241" s="170">
        <f>0.5+1+5</f>
        <v>6.5</v>
      </c>
      <c r="S241" s="170"/>
      <c r="T241" s="170"/>
      <c r="U241" s="67">
        <f>+Tabla1[[#This Row],[STOCK    FISICO ENERO 2021]]-Tabla1[[#This Row],[REQUISICIONES FEBRERO 2021]]</f>
        <v>13</v>
      </c>
      <c r="V241" s="67">
        <f>+Tabla1[[#This Row],[STOCK  FEBRERO 2021]]-Tabla1[[#This Row],[REQUISICIONES MARZO 2021]]+Tabla1[[#This Row],[ENTRADAS MARZO 2021]]</f>
        <v>7</v>
      </c>
      <c r="W241" s="67">
        <f>+Tabla1[[#This Row],[STOCK MARZO 2021]]-Tabla1[[#This Row],[REQUISICIONES ABRIL 2021]]+Tabla1[[#This Row],[ENTRADAS ABRIL 2021]]</f>
        <v>0.5</v>
      </c>
      <c r="X241" s="67">
        <f>+Tabla1[[#This Row],[STOCK ABRIL 2021]]-Tabla1[[#This Row],[REQUISICIONES MAYO 2021]]+Tabla1[[#This Row],[ENTRADAS MAYO 2021]]</f>
        <v>0.5</v>
      </c>
      <c r="Y241" s="67">
        <f>+Tabla1[[#This Row],[STOCK MAYO 2021]]-Tabla1[[#This Row],[REQUISICIONES JUNIO 2021]]+Tabla1[[#This Row],[ENTRADAS JUNIO 2021]]</f>
        <v>0.5</v>
      </c>
      <c r="Z241" s="40" t="s">
        <v>12</v>
      </c>
      <c r="AA241" s="45">
        <v>459.61</v>
      </c>
      <c r="AB241" s="35">
        <f t="shared" si="7"/>
        <v>542.33979999999997</v>
      </c>
      <c r="AC241" s="94">
        <f>Tabla1[[#This Row],[STOCK JUNIO ]]*Tabla1[[#This Row],[COSTO UNITARIO SIN ITBIS]]</f>
        <v>229.80500000000001</v>
      </c>
    </row>
    <row r="242" spans="1:29" s="10" customFormat="1" x14ac:dyDescent="0.25">
      <c r="A242" s="261">
        <v>3</v>
      </c>
      <c r="B242" s="117">
        <v>44323</v>
      </c>
      <c r="C242" s="41" t="s">
        <v>11</v>
      </c>
      <c r="D242" s="117">
        <v>44320</v>
      </c>
      <c r="E242" s="138" t="s">
        <v>848</v>
      </c>
      <c r="F242" s="197"/>
      <c r="G242" s="40" t="s">
        <v>847</v>
      </c>
      <c r="H242" s="120"/>
      <c r="I242" s="120"/>
      <c r="J242" s="120">
        <f>+'INVENTARIO ABRIL-JUNIO 2021'!$H242-'INVENTARIO ABRIL-JUNIO 2021'!$I242</f>
        <v>0</v>
      </c>
      <c r="K242" s="120"/>
      <c r="L242" s="120"/>
      <c r="M242" s="120"/>
      <c r="N242" s="126">
        <v>80</v>
      </c>
      <c r="O242" s="121"/>
      <c r="P242" s="120"/>
      <c r="Q242" s="120"/>
      <c r="R242" s="218"/>
      <c r="S242" s="121">
        <f>1+1+1+1+1+1+1+5</f>
        <v>12</v>
      </c>
      <c r="T242" s="121">
        <f>2+5+1+1+5+1+1+1+1+1+1+1</f>
        <v>21</v>
      </c>
      <c r="U242" s="121">
        <f>+Tabla1[[#This Row],[STOCK    FISICO ENERO 2021]]-Tabla1[[#This Row],[REQUISICIONES FEBRERO 2021]]</f>
        <v>0</v>
      </c>
      <c r="V242" s="121">
        <f>+Tabla1[[#This Row],[STOCK  FEBRERO 2021]]-Tabla1[[#This Row],[REQUISICIONES MARZO 2021]]+Tabla1[[#This Row],[ENTRADAS MARZO 2021]]</f>
        <v>0</v>
      </c>
      <c r="W242" s="199">
        <f>+Tabla1[[#This Row],[STOCK MARZO 2021]]-Tabla1[[#This Row],[REQUISICIONES ABRIL 2021]]+Tabla1[[#This Row],[ENTRADAS ABRIL 2021]]</f>
        <v>0</v>
      </c>
      <c r="X242" s="199">
        <f>+Tabla1[[#This Row],[STOCK ABRIL 2021]]-Tabla1[[#This Row],[REQUISICIONES MAYO 2021]]+Tabla1[[#This Row],[ENTRADAS MAYO 2021]]</f>
        <v>68</v>
      </c>
      <c r="Y242" s="238">
        <f>+Tabla1[[#This Row],[STOCK MAYO 2021]]-Tabla1[[#This Row],[REQUISICIONES JUNIO 2021]]+Tabla1[[#This Row],[ENTRADAS JUNIO 2021]]</f>
        <v>47</v>
      </c>
      <c r="Z242" s="216" t="s">
        <v>170</v>
      </c>
      <c r="AA242" s="122">
        <v>425</v>
      </c>
      <c r="AB242" s="35">
        <f t="shared" si="7"/>
        <v>501.5</v>
      </c>
      <c r="AC242" s="94">
        <f>Tabla1[[#This Row],[STOCK JUNIO ]]*Tabla1[[#This Row],[COSTO UNITARIO SIN ITBIS]]</f>
        <v>19975</v>
      </c>
    </row>
    <row r="243" spans="1:29" s="188" customFormat="1" x14ac:dyDescent="0.25">
      <c r="A243" s="261">
        <v>4</v>
      </c>
      <c r="B243" s="117"/>
      <c r="C243" s="41" t="s">
        <v>11</v>
      </c>
      <c r="D243" s="117"/>
      <c r="E243" s="138"/>
      <c r="F243" s="197"/>
      <c r="G243" s="32" t="s">
        <v>888</v>
      </c>
      <c r="H243" s="63"/>
      <c r="I243" s="63"/>
      <c r="J243" s="63">
        <f>+'INVENTARIO ABRIL-JUNIO 2021'!$H243-'INVENTARIO ABRIL-JUNIO 2021'!$I243+6+25+20+46</f>
        <v>97</v>
      </c>
      <c r="K243" s="63"/>
      <c r="L243" s="63"/>
      <c r="M243" s="63"/>
      <c r="N243" s="63"/>
      <c r="O243" s="125">
        <v>620</v>
      </c>
      <c r="P243" s="63"/>
      <c r="Q243" s="63">
        <f>10+1+5+3+1+1+3+3+2+2</f>
        <v>31</v>
      </c>
      <c r="R243" s="63">
        <f>1+1+1+2+2+1+1+2+4+2+1+2</f>
        <v>20</v>
      </c>
      <c r="S243" s="63">
        <f>2+3+2+8+4+3+1+3+1+3+1+1+4+2+3+2+1+2</f>
        <v>46</v>
      </c>
      <c r="T243" s="63">
        <f>8+32+16+32+16+20+22+32+8+32+8+24+32</f>
        <v>282</v>
      </c>
      <c r="U243" s="125">
        <f>+Tabla1[[#This Row],[STOCK    FISICO ENERO 2021]]-Tabla1[[#This Row],[REQUISICIONES FEBRERO 2021]]</f>
        <v>97</v>
      </c>
      <c r="V243" s="125">
        <f>+Tabla1[[#This Row],[STOCK  FEBRERO 2021]]-Tabla1[[#This Row],[REQUISICIONES MARZO 2021]]+Tabla1[[#This Row],[ENTRADAS MARZO 2021]]</f>
        <v>66</v>
      </c>
      <c r="W243" s="125">
        <f>+Tabla1[[#This Row],[STOCK MARZO 2021]]-Tabla1[[#This Row],[REQUISICIONES ABRIL 2021]]+Tabla1[[#This Row],[ENTRADAS ABRIL 2021]]</f>
        <v>46</v>
      </c>
      <c r="X243" s="125">
        <f>+Tabla1[[#This Row],[STOCK ABRIL 2021]]-Tabla1[[#This Row],[REQUISICIONES MAYO 2021]]+Tabla1[[#This Row],[ENTRADAS MAYO 2021]]</f>
        <v>0</v>
      </c>
      <c r="Y243" s="125">
        <f>+Tabla1[[#This Row],[STOCK MAYO 2021]]-Tabla1[[#This Row],[REQUISICIONES JUNIO 2021]]+Tabla1[[#This Row],[ENTRADAS JUNIO 2021]]</f>
        <v>338</v>
      </c>
      <c r="Z243" s="40" t="s">
        <v>893</v>
      </c>
      <c r="AA243" s="122"/>
      <c r="AB243" s="123"/>
      <c r="AC243" s="94">
        <f>Tabla1[[#This Row],[STOCK JUNIO ]]*Tabla1[[#This Row],[COSTO UNITARIO SIN ITBIS]]</f>
        <v>0</v>
      </c>
    </row>
    <row r="244" spans="1:29" s="8" customFormat="1" x14ac:dyDescent="0.25">
      <c r="A244" s="261">
        <v>5</v>
      </c>
      <c r="B244" s="42">
        <v>44137</v>
      </c>
      <c r="C244" s="41" t="s">
        <v>11</v>
      </c>
      <c r="D244" s="42">
        <v>44166</v>
      </c>
      <c r="E244" s="139"/>
      <c r="F244" s="43" t="s">
        <v>20</v>
      </c>
      <c r="G244" s="40" t="s">
        <v>164</v>
      </c>
      <c r="H244" s="67">
        <v>6</v>
      </c>
      <c r="I244" s="67"/>
      <c r="J244" s="67">
        <f>+'INVENTARIO ABRIL-JUNIO 2021'!$H244-'INVENTARIO ABRIL-JUNIO 2021'!$I244</f>
        <v>6</v>
      </c>
      <c r="K244" s="67"/>
      <c r="L244" s="67"/>
      <c r="M244" s="67"/>
      <c r="N244" s="67"/>
      <c r="O244" s="199"/>
      <c r="P244" s="67">
        <v>2</v>
      </c>
      <c r="Q244" s="67"/>
      <c r="R244" s="67">
        <v>1</v>
      </c>
      <c r="S244" s="67"/>
      <c r="T244" s="67">
        <v>2</v>
      </c>
      <c r="U244" s="67">
        <f>+Tabla1[[#This Row],[STOCK    FISICO ENERO 2021]]-Tabla1[[#This Row],[REQUISICIONES FEBRERO 2021]]</f>
        <v>4</v>
      </c>
      <c r="V244" s="67">
        <f>+Tabla1[[#This Row],[STOCK  FEBRERO 2021]]-Tabla1[[#This Row],[REQUISICIONES MARZO 2021]]+Tabla1[[#This Row],[ENTRADAS MARZO 2021]]</f>
        <v>4</v>
      </c>
      <c r="W244" s="67">
        <f>+Tabla1[[#This Row],[STOCK MARZO 2021]]-Tabla1[[#This Row],[REQUISICIONES ABRIL 2021]]+Tabla1[[#This Row],[ENTRADAS ABRIL 2021]]</f>
        <v>3</v>
      </c>
      <c r="X244" s="67">
        <f>+Tabla1[[#This Row],[STOCK ABRIL 2021]]-Tabla1[[#This Row],[REQUISICIONES MAYO 2021]]+Tabla1[[#This Row],[ENTRADAS MAYO 2021]]</f>
        <v>3</v>
      </c>
      <c r="Y244" s="67">
        <f>+Tabla1[[#This Row],[STOCK MAYO 2021]]-Tabla1[[#This Row],[REQUISICIONES JUNIO 2021]]+Tabla1[[#This Row],[ENTRADAS JUNIO 2021]]</f>
        <v>1</v>
      </c>
      <c r="Z244" s="40" t="s">
        <v>12</v>
      </c>
      <c r="AA244" s="45">
        <v>1105</v>
      </c>
      <c r="AB244" s="35">
        <f t="shared" si="7"/>
        <v>1303.9000000000001</v>
      </c>
      <c r="AC244" s="94">
        <f>Tabla1[[#This Row],[STOCK JUNIO ]]*Tabla1[[#This Row],[COSTO UNITARIO SIN ITBIS]]</f>
        <v>1105</v>
      </c>
    </row>
    <row r="245" spans="1:29" s="8" customFormat="1" x14ac:dyDescent="0.25">
      <c r="A245" s="261">
        <v>6</v>
      </c>
      <c r="B245" s="42">
        <v>37535</v>
      </c>
      <c r="C245" s="41" t="s">
        <v>11</v>
      </c>
      <c r="D245" s="42">
        <v>44110</v>
      </c>
      <c r="E245" s="139"/>
      <c r="F245" s="43">
        <v>1014</v>
      </c>
      <c r="G245" s="40" t="s">
        <v>166</v>
      </c>
      <c r="H245" s="67">
        <v>4</v>
      </c>
      <c r="I245" s="67">
        <v>1</v>
      </c>
      <c r="J245" s="67">
        <f>+'INVENTARIO ABRIL-JUNIO 2021'!$H245-'INVENTARIO ABRIL-JUNIO 2021'!$I245</f>
        <v>3</v>
      </c>
      <c r="K245" s="67"/>
      <c r="L245" s="67"/>
      <c r="M245" s="67"/>
      <c r="N245" s="67"/>
      <c r="O245" s="199"/>
      <c r="P245" s="67"/>
      <c r="Q245" s="67"/>
      <c r="R245" s="67">
        <v>3</v>
      </c>
      <c r="S245" s="67"/>
      <c r="T245" s="67"/>
      <c r="U245" s="67">
        <f>+Tabla1[[#This Row],[STOCK    FISICO ENERO 2021]]-Tabla1[[#This Row],[REQUISICIONES FEBRERO 2021]]</f>
        <v>3</v>
      </c>
      <c r="V245" s="67">
        <f>+Tabla1[[#This Row],[STOCK  FEBRERO 2021]]-Tabla1[[#This Row],[REQUISICIONES MARZO 2021]]+Tabla1[[#This Row],[ENTRADAS MARZO 2021]]</f>
        <v>3</v>
      </c>
      <c r="W245" s="67">
        <f>+Tabla1[[#This Row],[STOCK MARZO 2021]]-Tabla1[[#This Row],[REQUISICIONES ABRIL 2021]]+Tabla1[[#This Row],[ENTRADAS ABRIL 2021]]</f>
        <v>0</v>
      </c>
      <c r="X245" s="67">
        <f>+Tabla1[[#This Row],[STOCK ABRIL 2021]]-Tabla1[[#This Row],[REQUISICIONES MAYO 2021]]+Tabla1[[#This Row],[ENTRADAS MAYO 2021]]</f>
        <v>0</v>
      </c>
      <c r="Y245" s="67">
        <f>+Tabla1[[#This Row],[STOCK MAYO 2021]]-Tabla1[[#This Row],[REQUISICIONES JUNIO 2021]]+Tabla1[[#This Row],[ENTRADAS JUNIO 2021]]</f>
        <v>0</v>
      </c>
      <c r="Z245" s="40" t="s">
        <v>12</v>
      </c>
      <c r="AA245" s="45">
        <v>70.7</v>
      </c>
      <c r="AB245" s="35">
        <f t="shared" si="7"/>
        <v>83.426000000000002</v>
      </c>
      <c r="AC245" s="94">
        <f>Tabla1[[#This Row],[STOCK JUNIO ]]*Tabla1[[#This Row],[COSTO UNITARIO SIN ITBIS]]</f>
        <v>0</v>
      </c>
    </row>
    <row r="246" spans="1:29" s="8" customFormat="1" x14ac:dyDescent="0.25">
      <c r="A246" s="261">
        <v>7</v>
      </c>
      <c r="B246" s="117">
        <v>44323</v>
      </c>
      <c r="C246" s="41" t="s">
        <v>11</v>
      </c>
      <c r="D246" s="117">
        <v>44322</v>
      </c>
      <c r="E246" s="138" t="s">
        <v>854</v>
      </c>
      <c r="F246" s="197"/>
      <c r="G246" s="40" t="s">
        <v>862</v>
      </c>
      <c r="H246" s="120"/>
      <c r="I246" s="120"/>
      <c r="J246" s="120">
        <f>+'INVENTARIO ABRIL-JUNIO 2021'!$H246-'INVENTARIO ABRIL-JUNIO 2021'!$I246</f>
        <v>0</v>
      </c>
      <c r="K246" s="120"/>
      <c r="L246" s="120"/>
      <c r="M246" s="120"/>
      <c r="N246" s="126">
        <v>100</v>
      </c>
      <c r="O246" s="121"/>
      <c r="P246" s="120"/>
      <c r="Q246" s="120"/>
      <c r="R246" s="120"/>
      <c r="S246" s="120">
        <f>12+1+6+6+2</f>
        <v>27</v>
      </c>
      <c r="T246" s="120">
        <f>1+2+6+1+1+4+3+1</f>
        <v>19</v>
      </c>
      <c r="U246" s="121">
        <f>+Tabla1[[#This Row],[STOCK    FISICO ENERO 2021]]-Tabla1[[#This Row],[REQUISICIONES FEBRERO 2021]]</f>
        <v>0</v>
      </c>
      <c r="V246" s="121">
        <f>+Tabla1[[#This Row],[STOCK  FEBRERO 2021]]-Tabla1[[#This Row],[REQUISICIONES MARZO 2021]]+Tabla1[[#This Row],[ENTRADAS MARZO 2021]]</f>
        <v>0</v>
      </c>
      <c r="W246" s="199">
        <f>+Tabla1[[#This Row],[STOCK MARZO 2021]]-Tabla1[[#This Row],[REQUISICIONES ABRIL 2021]]+Tabla1[[#This Row],[ENTRADAS ABRIL 2021]]</f>
        <v>0</v>
      </c>
      <c r="X246" s="199">
        <f>+Tabla1[[#This Row],[STOCK ABRIL 2021]]-Tabla1[[#This Row],[REQUISICIONES MAYO 2021]]+Tabla1[[#This Row],[ENTRADAS MAYO 2021]]</f>
        <v>73</v>
      </c>
      <c r="Y246" s="199">
        <f>+Tabla1[[#This Row],[STOCK MAYO 2021]]-Tabla1[[#This Row],[REQUISICIONES JUNIO 2021]]+Tabla1[[#This Row],[ENTRADAS JUNIO 2021]]</f>
        <v>54</v>
      </c>
      <c r="Z246" s="40" t="s">
        <v>12</v>
      </c>
      <c r="AA246" s="122">
        <v>71.25</v>
      </c>
      <c r="AB246" s="35">
        <f t="shared" si="7"/>
        <v>84.075000000000003</v>
      </c>
      <c r="AC246" s="94">
        <f>Tabla1[[#This Row],[STOCK JUNIO ]]*Tabla1[[#This Row],[COSTO UNITARIO SIN ITBIS]]</f>
        <v>3847.5</v>
      </c>
    </row>
    <row r="247" spans="1:29" s="8" customFormat="1" x14ac:dyDescent="0.25">
      <c r="A247" s="261">
        <v>8</v>
      </c>
      <c r="B247" s="42"/>
      <c r="C247" s="41" t="s">
        <v>11</v>
      </c>
      <c r="D247" s="42"/>
      <c r="E247" s="139"/>
      <c r="F247" s="43"/>
      <c r="G247" s="40" t="s">
        <v>863</v>
      </c>
      <c r="H247" s="67">
        <v>21</v>
      </c>
      <c r="I247" s="67">
        <f>1+3+1</f>
        <v>5</v>
      </c>
      <c r="J247" s="67">
        <f>+'INVENTARIO ABRIL-JUNIO 2021'!$H247-'INVENTARIO ABRIL-JUNIO 2021'!$I247+5</f>
        <v>21</v>
      </c>
      <c r="K247" s="67"/>
      <c r="L247" s="67"/>
      <c r="M247" s="67"/>
      <c r="N247" s="67"/>
      <c r="O247" s="199"/>
      <c r="P247" s="67">
        <f>1+4+4</f>
        <v>9</v>
      </c>
      <c r="Q247" s="67">
        <v>1</v>
      </c>
      <c r="R247" s="67">
        <f>2+1+1</f>
        <v>4</v>
      </c>
      <c r="S247" s="67"/>
      <c r="T247" s="67">
        <v>1</v>
      </c>
      <c r="U247" s="67">
        <f>+Tabla1[[#This Row],[STOCK    FISICO ENERO 2021]]-Tabla1[[#This Row],[REQUISICIONES FEBRERO 2021]]</f>
        <v>12</v>
      </c>
      <c r="V247" s="67">
        <f>+Tabla1[[#This Row],[STOCK  FEBRERO 2021]]-Tabla1[[#This Row],[REQUISICIONES MARZO 2021]]+Tabla1[[#This Row],[ENTRADAS MARZO 2021]]</f>
        <v>11</v>
      </c>
      <c r="W247" s="67">
        <f>+Tabla1[[#This Row],[STOCK MARZO 2021]]-Tabla1[[#This Row],[REQUISICIONES ABRIL 2021]]+Tabla1[[#This Row],[ENTRADAS ABRIL 2021]]</f>
        <v>7</v>
      </c>
      <c r="X247" s="67">
        <f>+Tabla1[[#This Row],[STOCK ABRIL 2021]]-Tabla1[[#This Row],[REQUISICIONES MAYO 2021]]+Tabla1[[#This Row],[ENTRADAS MAYO 2021]]</f>
        <v>7</v>
      </c>
      <c r="Y247" s="67">
        <f>+Tabla1[[#This Row],[STOCK MAYO 2021]]-Tabla1[[#This Row],[REQUISICIONES JUNIO 2021]]+Tabla1[[#This Row],[ENTRADAS JUNIO 2021]]</f>
        <v>6</v>
      </c>
      <c r="Z247" s="40" t="s">
        <v>12</v>
      </c>
      <c r="AA247" s="45">
        <v>82</v>
      </c>
      <c r="AB247" s="35">
        <f t="shared" si="7"/>
        <v>96.76</v>
      </c>
      <c r="AC247" s="94">
        <f>Tabla1[[#This Row],[STOCK JUNIO ]]*Tabla1[[#This Row],[COSTO UNITARIO SIN ITBIS]]</f>
        <v>492</v>
      </c>
    </row>
    <row r="248" spans="1:29" s="8" customFormat="1" x14ac:dyDescent="0.25">
      <c r="A248" s="261">
        <v>9</v>
      </c>
      <c r="B248" s="117">
        <v>44323</v>
      </c>
      <c r="C248" s="41" t="s">
        <v>11</v>
      </c>
      <c r="D248" s="117">
        <v>44322</v>
      </c>
      <c r="E248" s="138" t="s">
        <v>854</v>
      </c>
      <c r="F248" s="197"/>
      <c r="G248" s="40" t="s">
        <v>864</v>
      </c>
      <c r="H248" s="120"/>
      <c r="I248" s="120"/>
      <c r="J248" s="120">
        <f>+'INVENTARIO ABRIL-JUNIO 2021'!$H248-'INVENTARIO ABRIL-JUNIO 2021'!$I248</f>
        <v>0</v>
      </c>
      <c r="K248" s="120"/>
      <c r="L248" s="120"/>
      <c r="M248" s="120"/>
      <c r="N248" s="126">
        <v>30</v>
      </c>
      <c r="O248" s="121"/>
      <c r="P248" s="120"/>
      <c r="Q248" s="120"/>
      <c r="R248" s="120"/>
      <c r="S248" s="120">
        <f>2+2+2+2</f>
        <v>8</v>
      </c>
      <c r="T248" s="120">
        <f>15+1+1</f>
        <v>17</v>
      </c>
      <c r="U248" s="121">
        <f>+Tabla1[[#This Row],[STOCK    FISICO ENERO 2021]]-Tabla1[[#This Row],[REQUISICIONES FEBRERO 2021]]</f>
        <v>0</v>
      </c>
      <c r="V248" s="121">
        <f>+Tabla1[[#This Row],[STOCK  FEBRERO 2021]]-Tabla1[[#This Row],[REQUISICIONES MARZO 2021]]+Tabla1[[#This Row],[ENTRADAS MARZO 2021]]</f>
        <v>0</v>
      </c>
      <c r="W248" s="199">
        <f>+Tabla1[[#This Row],[STOCK MARZO 2021]]-Tabla1[[#This Row],[REQUISICIONES ABRIL 2021]]+Tabla1[[#This Row],[ENTRADAS ABRIL 2021]]</f>
        <v>0</v>
      </c>
      <c r="X248" s="199">
        <f>+Tabla1[[#This Row],[STOCK ABRIL 2021]]-Tabla1[[#This Row],[REQUISICIONES MAYO 2021]]+Tabla1[[#This Row],[ENTRADAS MAYO 2021]]</f>
        <v>22</v>
      </c>
      <c r="Y248" s="199">
        <f>+Tabla1[[#This Row],[STOCK MAYO 2021]]-Tabla1[[#This Row],[REQUISICIONES JUNIO 2021]]+Tabla1[[#This Row],[ENTRADAS JUNIO 2021]]</f>
        <v>5</v>
      </c>
      <c r="Z248" s="40" t="s">
        <v>12</v>
      </c>
      <c r="AA248" s="122">
        <v>38.85</v>
      </c>
      <c r="AB248" s="35">
        <f t="shared" si="7"/>
        <v>45.843000000000004</v>
      </c>
      <c r="AC248" s="94">
        <f>Tabla1[[#This Row],[STOCK JUNIO ]]*Tabla1[[#This Row],[COSTO UNITARIO SIN ITBIS]]</f>
        <v>194.25</v>
      </c>
    </row>
    <row r="249" spans="1:29" s="8" customFormat="1" x14ac:dyDescent="0.25">
      <c r="A249" s="261">
        <v>10</v>
      </c>
      <c r="B249" s="310">
        <v>44375</v>
      </c>
      <c r="C249" s="41" t="s">
        <v>11</v>
      </c>
      <c r="D249" s="243">
        <v>44375</v>
      </c>
      <c r="E249" s="249" t="s">
        <v>923</v>
      </c>
      <c r="F249" s="244"/>
      <c r="G249" s="40" t="s">
        <v>924</v>
      </c>
      <c r="H249" s="245"/>
      <c r="I249" s="245"/>
      <c r="J249" s="245">
        <f>+'INVENTARIO ABRIL-JUNIO 2021'!$H249-'INVENTARIO ABRIL-JUNIO 2021'!$I249</f>
        <v>0</v>
      </c>
      <c r="K249" s="245"/>
      <c r="L249" s="245"/>
      <c r="M249" s="245"/>
      <c r="N249" s="246"/>
      <c r="O249" s="247">
        <v>50</v>
      </c>
      <c r="P249" s="245"/>
      <c r="Q249" s="245"/>
      <c r="R249" s="245"/>
      <c r="S249" s="245"/>
      <c r="T249" s="245">
        <v>18</v>
      </c>
      <c r="U249" s="247">
        <f>+Tabla1[[#This Row],[STOCK    FISICO ENERO 2021]]-Tabla1[[#This Row],[REQUISICIONES FEBRERO 2021]]</f>
        <v>0</v>
      </c>
      <c r="V249" s="247">
        <f>+Tabla1[[#This Row],[STOCK  FEBRERO 2021]]-Tabla1[[#This Row],[REQUISICIONES MARZO 2021]]+Tabla1[[#This Row],[ENTRADAS MARZO 2021]]</f>
        <v>0</v>
      </c>
      <c r="W249" s="199">
        <f>+Tabla1[[#This Row],[STOCK MARZO 2021]]-Tabla1[[#This Row],[REQUISICIONES ABRIL 2021]]+Tabla1[[#This Row],[ENTRADAS ABRIL 2021]]</f>
        <v>0</v>
      </c>
      <c r="X249" s="199">
        <f>+Tabla1[[#This Row],[STOCK ABRIL 2021]]-Tabla1[[#This Row],[REQUISICIONES MAYO 2021]]+Tabla1[[#This Row],[ENTRADAS MAYO 2021]]</f>
        <v>0</v>
      </c>
      <c r="Y249" s="199">
        <f>+Tabla1[[#This Row],[STOCK MAYO 2021]]-Tabla1[[#This Row],[REQUISICIONES JUNIO 2021]]+Tabla1[[#This Row],[ENTRADAS JUNIO 2021]]</f>
        <v>32</v>
      </c>
      <c r="Z249" s="40" t="s">
        <v>12</v>
      </c>
      <c r="AA249" s="248">
        <v>50</v>
      </c>
      <c r="AB249" s="35">
        <f t="shared" si="7"/>
        <v>59</v>
      </c>
      <c r="AC249" s="94">
        <f>Tabla1[[#This Row],[STOCK JUNIO ]]*Tabla1[[#This Row],[COSTO UNITARIO SIN ITBIS]]</f>
        <v>1600</v>
      </c>
    </row>
    <row r="250" spans="1:29" s="8" customFormat="1" x14ac:dyDescent="0.25">
      <c r="A250" s="261">
        <v>11</v>
      </c>
      <c r="B250" s="42">
        <v>44119</v>
      </c>
      <c r="C250" s="41" t="s">
        <v>11</v>
      </c>
      <c r="D250" s="42">
        <v>44119</v>
      </c>
      <c r="E250" s="139"/>
      <c r="F250" s="43" t="s">
        <v>20</v>
      </c>
      <c r="G250" s="40" t="s">
        <v>167</v>
      </c>
      <c r="H250" s="67">
        <v>9</v>
      </c>
      <c r="I250" s="67"/>
      <c r="J250" s="67">
        <f>+'INVENTARIO ABRIL-JUNIO 2021'!$H250-'INVENTARIO ABRIL-JUNIO 2021'!$I250</f>
        <v>9</v>
      </c>
      <c r="K250" s="67"/>
      <c r="L250" s="67"/>
      <c r="M250" s="67"/>
      <c r="N250" s="67"/>
      <c r="O250" s="199"/>
      <c r="P250" s="67"/>
      <c r="Q250" s="67"/>
      <c r="R250" s="67">
        <v>1</v>
      </c>
      <c r="S250" s="67"/>
      <c r="T250" s="67"/>
      <c r="U250" s="67">
        <f>+Tabla1[[#This Row],[STOCK    FISICO ENERO 2021]]-Tabla1[[#This Row],[REQUISICIONES FEBRERO 2021]]</f>
        <v>9</v>
      </c>
      <c r="V250" s="67">
        <f>+Tabla1[[#This Row],[STOCK  FEBRERO 2021]]-Tabla1[[#This Row],[REQUISICIONES MARZO 2021]]+Tabla1[[#This Row],[ENTRADAS MARZO 2021]]</f>
        <v>9</v>
      </c>
      <c r="W250" s="67">
        <f>+Tabla1[[#This Row],[STOCK MARZO 2021]]-Tabla1[[#This Row],[REQUISICIONES ABRIL 2021]]+Tabla1[[#This Row],[ENTRADAS ABRIL 2021]]</f>
        <v>8</v>
      </c>
      <c r="X250" s="67">
        <f>+Tabla1[[#This Row],[STOCK ABRIL 2021]]-Tabla1[[#This Row],[REQUISICIONES MAYO 2021]]+Tabla1[[#This Row],[ENTRADAS MAYO 2021]]</f>
        <v>8</v>
      </c>
      <c r="Y250" s="67">
        <f>+Tabla1[[#This Row],[STOCK MAYO 2021]]-Tabla1[[#This Row],[REQUISICIONES JUNIO 2021]]+Tabla1[[#This Row],[ENTRADAS JUNIO 2021]]</f>
        <v>8</v>
      </c>
      <c r="Z250" s="40" t="s">
        <v>12</v>
      </c>
      <c r="AA250" s="45">
        <v>1813.5</v>
      </c>
      <c r="AB250" s="35">
        <f t="shared" si="7"/>
        <v>2139.9299999999998</v>
      </c>
      <c r="AC250" s="94">
        <f>Tabla1[[#This Row],[STOCK JUNIO ]]*Tabla1[[#This Row],[COSTO UNITARIO SIN ITBIS]]</f>
        <v>14508</v>
      </c>
    </row>
    <row r="251" spans="1:29" s="8" customFormat="1" x14ac:dyDescent="0.25">
      <c r="A251" s="261">
        <v>12</v>
      </c>
      <c r="B251" s="42">
        <v>44168</v>
      </c>
      <c r="C251" s="41" t="s">
        <v>11</v>
      </c>
      <c r="D251" s="42"/>
      <c r="E251" s="139"/>
      <c r="F251" s="43">
        <v>1030</v>
      </c>
      <c r="G251" s="40" t="s">
        <v>168</v>
      </c>
      <c r="H251" s="65">
        <v>114</v>
      </c>
      <c r="I251" s="65">
        <f>5+2</f>
        <v>7</v>
      </c>
      <c r="J251" s="65">
        <f>+'INVENTARIO ABRIL-JUNIO 2021'!$H251-'INVENTARIO ABRIL-JUNIO 2021'!$I251</f>
        <v>107</v>
      </c>
      <c r="K251" s="65"/>
      <c r="L251" s="65"/>
      <c r="M251" s="65"/>
      <c r="N251" s="65"/>
      <c r="O251" s="215"/>
      <c r="P251" s="65">
        <f>8+10+1+1+1+10</f>
        <v>31</v>
      </c>
      <c r="Q251" s="65">
        <f>10+10+10</f>
        <v>30</v>
      </c>
      <c r="R251" s="65"/>
      <c r="S251" s="65">
        <f>12+2</f>
        <v>14</v>
      </c>
      <c r="T251" s="65">
        <f>2+10</f>
        <v>12</v>
      </c>
      <c r="U251" s="65">
        <f>+Tabla1[[#This Row],[STOCK    FISICO ENERO 2021]]-Tabla1[[#This Row],[REQUISICIONES FEBRERO 2021]]</f>
        <v>76</v>
      </c>
      <c r="V251" s="65">
        <f>+Tabla1[[#This Row],[STOCK  FEBRERO 2021]]-Tabla1[[#This Row],[REQUISICIONES MARZO 2021]]+Tabla1[[#This Row],[ENTRADAS MARZO 2021]]</f>
        <v>46</v>
      </c>
      <c r="W251" s="65">
        <f>+Tabla1[[#This Row],[STOCK MARZO 2021]]-Tabla1[[#This Row],[REQUISICIONES ABRIL 2021]]+Tabla1[[#This Row],[ENTRADAS ABRIL 2021]]</f>
        <v>46</v>
      </c>
      <c r="X251" s="65">
        <f>+Tabla1[[#This Row],[STOCK ABRIL 2021]]-Tabla1[[#This Row],[REQUISICIONES MAYO 2021]]+Tabla1[[#This Row],[ENTRADAS MAYO 2021]]</f>
        <v>32</v>
      </c>
      <c r="Y251" s="65">
        <f>+Tabla1[[#This Row],[STOCK MAYO 2021]]-Tabla1[[#This Row],[REQUISICIONES JUNIO 2021]]+Tabla1[[#This Row],[ENTRADAS JUNIO 2021]]</f>
        <v>20</v>
      </c>
      <c r="Z251" s="40" t="s">
        <v>12</v>
      </c>
      <c r="AA251" s="45">
        <v>13.52</v>
      </c>
      <c r="AB251" s="35">
        <f t="shared" si="7"/>
        <v>15.9536</v>
      </c>
      <c r="AC251" s="94">
        <f>Tabla1[[#This Row],[STOCK JUNIO ]]*Tabla1[[#This Row],[COSTO UNITARIO SIN ITBIS]]</f>
        <v>270.39999999999998</v>
      </c>
    </row>
    <row r="252" spans="1:29" s="8" customFormat="1" x14ac:dyDescent="0.25">
      <c r="A252" s="261">
        <v>13</v>
      </c>
      <c r="B252" s="42">
        <v>43636</v>
      </c>
      <c r="C252" s="41" t="s">
        <v>11</v>
      </c>
      <c r="D252" s="42">
        <v>43633</v>
      </c>
      <c r="E252" s="139"/>
      <c r="F252" s="43">
        <v>1467</v>
      </c>
      <c r="G252" s="40" t="s">
        <v>169</v>
      </c>
      <c r="H252" s="65">
        <v>1</v>
      </c>
      <c r="I252" s="65"/>
      <c r="J252" s="65">
        <f>+'INVENTARIO ABRIL-JUNIO 2021'!$H252-'INVENTARIO ABRIL-JUNIO 2021'!$I252</f>
        <v>1</v>
      </c>
      <c r="K252" s="65"/>
      <c r="L252" s="65"/>
      <c r="M252" s="65"/>
      <c r="N252" s="65"/>
      <c r="O252" s="215"/>
      <c r="P252" s="65"/>
      <c r="Q252" s="65"/>
      <c r="R252" s="65"/>
      <c r="S252" s="65"/>
      <c r="T252" s="65"/>
      <c r="U252" s="65">
        <f>+Tabla1[[#This Row],[STOCK    FISICO ENERO 2021]]-Tabla1[[#This Row],[REQUISICIONES FEBRERO 2021]]</f>
        <v>1</v>
      </c>
      <c r="V252" s="65">
        <f>+Tabla1[[#This Row],[STOCK  FEBRERO 2021]]-Tabla1[[#This Row],[REQUISICIONES MARZO 2021]]+Tabla1[[#This Row],[ENTRADAS MARZO 2021]]</f>
        <v>1</v>
      </c>
      <c r="W252" s="65">
        <f>+Tabla1[[#This Row],[STOCK MARZO 2021]]-Tabla1[[#This Row],[REQUISICIONES ABRIL 2021]]+Tabla1[[#This Row],[ENTRADAS ABRIL 2021]]</f>
        <v>1</v>
      </c>
      <c r="X252" s="65">
        <f>+Tabla1[[#This Row],[STOCK ABRIL 2021]]-Tabla1[[#This Row],[REQUISICIONES MAYO 2021]]+Tabla1[[#This Row],[ENTRADAS MAYO 2021]]</f>
        <v>1</v>
      </c>
      <c r="Y252" s="65">
        <f>+Tabla1[[#This Row],[STOCK MAYO 2021]]-Tabla1[[#This Row],[REQUISICIONES JUNIO 2021]]+Tabla1[[#This Row],[ENTRADAS JUNIO 2021]]</f>
        <v>1</v>
      </c>
      <c r="Z252" s="40" t="s">
        <v>12</v>
      </c>
      <c r="AA252" s="45">
        <v>53.31</v>
      </c>
      <c r="AB252" s="35">
        <f>+AA252*0.18+AA252</f>
        <v>62.905799999999999</v>
      </c>
      <c r="AC252" s="94">
        <f>Tabla1[[#This Row],[STOCK JUNIO ]]*Tabla1[[#This Row],[COSTO UNITARIO SIN ITBIS]]</f>
        <v>53.31</v>
      </c>
    </row>
    <row r="253" spans="1:29" s="8" customFormat="1" x14ac:dyDescent="0.25">
      <c r="A253" s="261">
        <v>14</v>
      </c>
      <c r="B253" s="110"/>
      <c r="C253" s="41" t="s">
        <v>11</v>
      </c>
      <c r="D253" s="110"/>
      <c r="E253" s="142"/>
      <c r="F253" s="111"/>
      <c r="G253" s="112" t="s">
        <v>721</v>
      </c>
      <c r="H253" s="113"/>
      <c r="I253" s="113"/>
      <c r="J253" s="113">
        <f>+'INVENTARIO ABRIL-JUNIO 2021'!$H253-'INVENTARIO ABRIL-JUNIO 2021'!$I253+7</f>
        <v>7</v>
      </c>
      <c r="K253" s="113"/>
      <c r="L253" s="113"/>
      <c r="M253" s="113"/>
      <c r="N253" s="113"/>
      <c r="O253" s="114"/>
      <c r="P253" s="113">
        <v>1</v>
      </c>
      <c r="Q253" s="113">
        <v>1</v>
      </c>
      <c r="R253" s="113">
        <f>2+1</f>
        <v>3</v>
      </c>
      <c r="S253" s="113">
        <v>2</v>
      </c>
      <c r="T253" s="113"/>
      <c r="U253" s="114">
        <f>+Tabla1[[#This Row],[STOCK    FISICO ENERO 2021]]-Tabla1[[#This Row],[REQUISICIONES FEBRERO 2021]]</f>
        <v>6</v>
      </c>
      <c r="V253" s="114">
        <f>+Tabla1[[#This Row],[STOCK  FEBRERO 2021]]-Tabla1[[#This Row],[REQUISICIONES MARZO 2021]]+Tabla1[[#This Row],[ENTRADAS MARZO 2021]]</f>
        <v>5</v>
      </c>
      <c r="W253" s="114">
        <f>+Tabla1[[#This Row],[STOCK MARZO 2021]]-Tabla1[[#This Row],[REQUISICIONES ABRIL 2021]]+Tabla1[[#This Row],[ENTRADAS ABRIL 2021]]</f>
        <v>2</v>
      </c>
      <c r="X253" s="114">
        <f>+Tabla1[[#This Row],[STOCK ABRIL 2021]]-Tabla1[[#This Row],[REQUISICIONES MAYO 2021]]+Tabla1[[#This Row],[ENTRADAS MAYO 2021]]</f>
        <v>0</v>
      </c>
      <c r="Y253" s="114">
        <f>+Tabla1[[#This Row],[STOCK MAYO 2021]]-Tabla1[[#This Row],[REQUISICIONES JUNIO 2021]]+Tabla1[[#This Row],[ENTRADAS JUNIO 2021]]</f>
        <v>0</v>
      </c>
      <c r="Z253" s="40" t="s">
        <v>12</v>
      </c>
      <c r="AA253" s="45">
        <v>0</v>
      </c>
      <c r="AB253" s="35">
        <f t="shared" ref="AB253:AB254" si="8">+AA253*0.18+AA253</f>
        <v>0</v>
      </c>
      <c r="AC253" s="94">
        <f>Tabla1[[#This Row],[STOCK JUNIO ]]*Tabla1[[#This Row],[COSTO UNITARIO SIN ITBIS]]</f>
        <v>0</v>
      </c>
    </row>
    <row r="254" spans="1:29" s="8" customFormat="1" x14ac:dyDescent="0.25">
      <c r="A254" s="261">
        <v>15</v>
      </c>
      <c r="B254" s="117">
        <v>44286</v>
      </c>
      <c r="C254" s="41" t="s">
        <v>11</v>
      </c>
      <c r="D254" s="117">
        <v>44286</v>
      </c>
      <c r="E254" s="138" t="s">
        <v>755</v>
      </c>
      <c r="F254" s="118"/>
      <c r="G254" s="119" t="s">
        <v>764</v>
      </c>
      <c r="H254" s="120"/>
      <c r="I254" s="120"/>
      <c r="J254" s="120">
        <f>+'INVENTARIO ABRIL-JUNIO 2021'!$H254-'INVENTARIO ABRIL-JUNIO 2021'!$I254</f>
        <v>0</v>
      </c>
      <c r="K254" s="120"/>
      <c r="L254" s="120">
        <v>12</v>
      </c>
      <c r="M254" s="120"/>
      <c r="N254" s="120"/>
      <c r="O254" s="121"/>
      <c r="P254" s="120"/>
      <c r="Q254" s="120"/>
      <c r="R254" s="120"/>
      <c r="S254" s="120">
        <v>4</v>
      </c>
      <c r="T254" s="120">
        <f>4+1+1</f>
        <v>6</v>
      </c>
      <c r="U254" s="121">
        <f>+Tabla1[[#This Row],[STOCK    FISICO ENERO 2021]]-Tabla1[[#This Row],[REQUISICIONES FEBRERO 2021]]</f>
        <v>0</v>
      </c>
      <c r="V254" s="121">
        <f>+Tabla1[[#This Row],[STOCK  FEBRERO 2021]]-Tabla1[[#This Row],[REQUISICIONES MARZO 2021]]+Tabla1[[#This Row],[ENTRADAS MARZO 2021]]</f>
        <v>12</v>
      </c>
      <c r="W254" s="121">
        <f>+Tabla1[[#This Row],[STOCK MARZO 2021]]-Tabla1[[#This Row],[REQUISICIONES ABRIL 2021]]+Tabla1[[#This Row],[ENTRADAS ABRIL 2021]]</f>
        <v>12</v>
      </c>
      <c r="X254" s="121">
        <f>+Tabla1[[#This Row],[STOCK ABRIL 2021]]-Tabla1[[#This Row],[REQUISICIONES MAYO 2021]]+Tabla1[[#This Row],[ENTRADAS MAYO 2021]]</f>
        <v>8</v>
      </c>
      <c r="Y254" s="121">
        <f>+Tabla1[[#This Row],[STOCK MAYO 2021]]-Tabla1[[#This Row],[REQUISICIONES JUNIO 2021]]+Tabla1[[#This Row],[ENTRADAS JUNIO 2021]]</f>
        <v>2</v>
      </c>
      <c r="Z254" s="40" t="s">
        <v>12</v>
      </c>
      <c r="AA254" s="122">
        <v>600</v>
      </c>
      <c r="AB254" s="93">
        <f t="shared" si="8"/>
        <v>708</v>
      </c>
      <c r="AC254" s="94">
        <f>Tabla1[[#This Row],[STOCK JUNIO ]]*Tabla1[[#This Row],[COSTO UNITARIO SIN ITBIS]]</f>
        <v>1200</v>
      </c>
    </row>
    <row r="255" spans="1:29" s="8" customFormat="1" x14ac:dyDescent="0.25">
      <c r="A255" s="261">
        <v>16</v>
      </c>
      <c r="B255" s="42">
        <v>43636</v>
      </c>
      <c r="C255" s="41" t="s">
        <v>11</v>
      </c>
      <c r="D255" s="42">
        <v>43633</v>
      </c>
      <c r="E255" s="139"/>
      <c r="F255" s="43">
        <v>1070</v>
      </c>
      <c r="G255" s="40" t="s">
        <v>171</v>
      </c>
      <c r="H255" s="65">
        <v>20</v>
      </c>
      <c r="I255" s="65"/>
      <c r="J255" s="65">
        <f>+'INVENTARIO ABRIL-JUNIO 2021'!$H255-'INVENTARIO ABRIL-JUNIO 2021'!$I255</f>
        <v>20</v>
      </c>
      <c r="K255" s="65"/>
      <c r="L255" s="65"/>
      <c r="M255" s="65"/>
      <c r="N255" s="65"/>
      <c r="O255" s="215"/>
      <c r="P255" s="65">
        <f>1+1</f>
        <v>2</v>
      </c>
      <c r="Q255" s="65">
        <f>1+1+1</f>
        <v>3</v>
      </c>
      <c r="R255" s="65"/>
      <c r="S255" s="65">
        <v>1</v>
      </c>
      <c r="T255" s="65">
        <f>1+1+2+1</f>
        <v>5</v>
      </c>
      <c r="U255" s="65">
        <f>+Tabla1[[#This Row],[STOCK    FISICO ENERO 2021]]-Tabla1[[#This Row],[REQUISICIONES FEBRERO 2021]]</f>
        <v>18</v>
      </c>
      <c r="V255" s="65">
        <f>+Tabla1[[#This Row],[STOCK  FEBRERO 2021]]-Tabla1[[#This Row],[REQUISICIONES MARZO 2021]]+Tabla1[[#This Row],[ENTRADAS MARZO 2021]]</f>
        <v>15</v>
      </c>
      <c r="W255" s="65">
        <f>+Tabla1[[#This Row],[STOCK MARZO 2021]]-Tabla1[[#This Row],[REQUISICIONES ABRIL 2021]]+Tabla1[[#This Row],[ENTRADAS ABRIL 2021]]</f>
        <v>15</v>
      </c>
      <c r="X255" s="65">
        <f>+Tabla1[[#This Row],[STOCK ABRIL 2021]]-Tabla1[[#This Row],[REQUISICIONES MAYO 2021]]+Tabla1[[#This Row],[ENTRADAS MAYO 2021]]</f>
        <v>14</v>
      </c>
      <c r="Y255" s="65">
        <f>+Tabla1[[#This Row],[STOCK MAYO 2021]]-Tabla1[[#This Row],[REQUISICIONES JUNIO 2021]]+Tabla1[[#This Row],[ENTRADAS JUNIO 2021]]</f>
        <v>9</v>
      </c>
      <c r="Z255" s="40" t="s">
        <v>170</v>
      </c>
      <c r="AA255" s="45">
        <v>159.30000000000001</v>
      </c>
      <c r="AB255" s="35">
        <f t="shared" ref="AB255:AB308" si="9">+AA255*0.18+AA255</f>
        <v>187.97400000000002</v>
      </c>
      <c r="AC255" s="94">
        <f>Tabla1[[#This Row],[STOCK JUNIO ]]*Tabla1[[#This Row],[COSTO UNITARIO SIN ITBIS]]</f>
        <v>1433.7</v>
      </c>
    </row>
    <row r="256" spans="1:29" s="8" customFormat="1" x14ac:dyDescent="0.25">
      <c r="A256" s="261">
        <v>17</v>
      </c>
      <c r="B256" s="117">
        <v>44323</v>
      </c>
      <c r="C256" s="41" t="s">
        <v>11</v>
      </c>
      <c r="D256" s="117">
        <v>44320</v>
      </c>
      <c r="E256" s="138" t="s">
        <v>851</v>
      </c>
      <c r="F256" s="197"/>
      <c r="G256" s="40" t="s">
        <v>171</v>
      </c>
      <c r="H256" s="120"/>
      <c r="I256" s="120"/>
      <c r="J256" s="120">
        <f>+'INVENTARIO ABRIL-JUNIO 2021'!$H256-'INVENTARIO ABRIL-JUNIO 2021'!$I256</f>
        <v>0</v>
      </c>
      <c r="K256" s="120"/>
      <c r="L256" s="120"/>
      <c r="M256" s="120"/>
      <c r="N256" s="126">
        <v>12</v>
      </c>
      <c r="O256" s="121"/>
      <c r="P256" s="120"/>
      <c r="Q256" s="120"/>
      <c r="R256" s="120"/>
      <c r="S256" s="120"/>
      <c r="T256" s="120"/>
      <c r="U256" s="121">
        <f>+Tabla1[[#This Row],[STOCK    FISICO ENERO 2021]]-Tabla1[[#This Row],[REQUISICIONES FEBRERO 2021]]</f>
        <v>0</v>
      </c>
      <c r="V256" s="121">
        <f>+Tabla1[[#This Row],[STOCK  FEBRERO 2021]]-Tabla1[[#This Row],[REQUISICIONES MARZO 2021]]+Tabla1[[#This Row],[ENTRADAS MARZO 2021]]</f>
        <v>0</v>
      </c>
      <c r="W256" s="215">
        <f>+Tabla1[[#This Row],[STOCK MARZO 2021]]-Tabla1[[#This Row],[REQUISICIONES ABRIL 2021]]+Tabla1[[#This Row],[ENTRADAS ABRIL 2021]]</f>
        <v>0</v>
      </c>
      <c r="X256" s="215">
        <f>+Tabla1[[#This Row],[STOCK ABRIL 2021]]-Tabla1[[#This Row],[REQUISICIONES MAYO 2021]]+Tabla1[[#This Row],[ENTRADAS MAYO 2021]]</f>
        <v>12</v>
      </c>
      <c r="Y256" s="215">
        <f>+Tabla1[[#This Row],[STOCK MAYO 2021]]-Tabla1[[#This Row],[REQUISICIONES JUNIO 2021]]+Tabla1[[#This Row],[ENTRADAS JUNIO 2021]]</f>
        <v>12</v>
      </c>
      <c r="Z256" s="40" t="s">
        <v>170</v>
      </c>
      <c r="AA256" s="122">
        <v>427.12</v>
      </c>
      <c r="AB256" s="35">
        <f t="shared" si="9"/>
        <v>504.0016</v>
      </c>
      <c r="AC256" s="94">
        <f>Tabla1[[#This Row],[STOCK JUNIO ]]*Tabla1[[#This Row],[COSTO UNITARIO SIN ITBIS]]</f>
        <v>5125.4400000000005</v>
      </c>
    </row>
    <row r="257" spans="1:29" s="12" customFormat="1" x14ac:dyDescent="0.25">
      <c r="A257" s="261">
        <v>18</v>
      </c>
      <c r="B257" s="42">
        <v>43636</v>
      </c>
      <c r="C257" s="41" t="s">
        <v>11</v>
      </c>
      <c r="D257" s="42">
        <v>43633</v>
      </c>
      <c r="E257" s="139"/>
      <c r="F257" s="43" t="s">
        <v>20</v>
      </c>
      <c r="G257" s="40" t="s">
        <v>857</v>
      </c>
      <c r="H257" s="65">
        <v>43</v>
      </c>
      <c r="I257" s="65"/>
      <c r="J257" s="65">
        <f>+'INVENTARIO ABRIL-JUNIO 2021'!$H257-'INVENTARIO ABRIL-JUNIO 2021'!$I257</f>
        <v>43</v>
      </c>
      <c r="K257" s="65"/>
      <c r="L257" s="65"/>
      <c r="M257" s="65"/>
      <c r="N257" s="65"/>
      <c r="O257" s="215"/>
      <c r="P257" s="65"/>
      <c r="Q257" s="65"/>
      <c r="R257" s="65"/>
      <c r="S257" s="65"/>
      <c r="T257" s="65">
        <v>1</v>
      </c>
      <c r="U257" s="65">
        <f>+Tabla1[[#This Row],[STOCK    FISICO ENERO 2021]]-Tabla1[[#This Row],[REQUISICIONES FEBRERO 2021]]</f>
        <v>43</v>
      </c>
      <c r="V257" s="65">
        <f>+Tabla1[[#This Row],[STOCK  FEBRERO 2021]]-Tabla1[[#This Row],[REQUISICIONES MARZO 2021]]+Tabla1[[#This Row],[ENTRADAS MARZO 2021]]</f>
        <v>43</v>
      </c>
      <c r="W257" s="65">
        <f>+Tabla1[[#This Row],[STOCK MARZO 2021]]-Tabla1[[#This Row],[REQUISICIONES ABRIL 2021]]+Tabla1[[#This Row],[ENTRADAS ABRIL 2021]]</f>
        <v>43</v>
      </c>
      <c r="X257" s="65">
        <f>+Tabla1[[#This Row],[STOCK ABRIL 2021]]-Tabla1[[#This Row],[REQUISICIONES MAYO 2021]]+Tabla1[[#This Row],[ENTRADAS MAYO 2021]]</f>
        <v>43</v>
      </c>
      <c r="Y257" s="65">
        <f>+Tabla1[[#This Row],[STOCK MAYO 2021]]-Tabla1[[#This Row],[REQUISICIONES JUNIO 2021]]+Tabla1[[#This Row],[ENTRADAS JUNIO 2021]]</f>
        <v>42</v>
      </c>
      <c r="Z257" s="40" t="s">
        <v>125</v>
      </c>
      <c r="AA257" s="45">
        <v>67.599999999999994</v>
      </c>
      <c r="AB257" s="35">
        <f t="shared" si="9"/>
        <v>79.768000000000001</v>
      </c>
      <c r="AC257" s="94">
        <f>Tabla1[[#This Row],[STOCK JUNIO ]]*Tabla1[[#This Row],[COSTO UNITARIO SIN ITBIS]]</f>
        <v>2839.2</v>
      </c>
    </row>
    <row r="258" spans="1:29" s="12" customFormat="1" x14ac:dyDescent="0.25">
      <c r="A258" s="261">
        <v>19</v>
      </c>
      <c r="B258" s="117">
        <v>44323</v>
      </c>
      <c r="C258" s="41" t="s">
        <v>11</v>
      </c>
      <c r="D258" s="117">
        <v>44322</v>
      </c>
      <c r="E258" s="138" t="s">
        <v>854</v>
      </c>
      <c r="F258" s="197"/>
      <c r="G258" s="40" t="s">
        <v>857</v>
      </c>
      <c r="H258" s="120"/>
      <c r="I258" s="120"/>
      <c r="J258" s="120">
        <f>+'INVENTARIO ABRIL-JUNIO 2021'!$H258-'INVENTARIO ABRIL-JUNIO 2021'!$I258</f>
        <v>0</v>
      </c>
      <c r="K258" s="120"/>
      <c r="L258" s="120"/>
      <c r="M258" s="120"/>
      <c r="N258" s="126">
        <v>10</v>
      </c>
      <c r="O258" s="121"/>
      <c r="P258" s="120"/>
      <c r="Q258" s="120"/>
      <c r="R258" s="120"/>
      <c r="S258" s="120"/>
      <c r="T258" s="120"/>
      <c r="U258" s="121">
        <f>+Tabla1[[#This Row],[STOCK    FISICO ENERO 2021]]-Tabla1[[#This Row],[REQUISICIONES FEBRERO 2021]]</f>
        <v>0</v>
      </c>
      <c r="V258" s="121">
        <f>+Tabla1[[#This Row],[STOCK  FEBRERO 2021]]-Tabla1[[#This Row],[REQUISICIONES MARZO 2021]]+Tabla1[[#This Row],[ENTRADAS MARZO 2021]]</f>
        <v>0</v>
      </c>
      <c r="W258" s="215">
        <f>+Tabla1[[#This Row],[STOCK MARZO 2021]]-Tabla1[[#This Row],[REQUISICIONES ABRIL 2021]]+Tabla1[[#This Row],[ENTRADAS ABRIL 2021]]</f>
        <v>0</v>
      </c>
      <c r="X258" s="215">
        <f>+Tabla1[[#This Row],[STOCK ABRIL 2021]]-Tabla1[[#This Row],[REQUISICIONES MAYO 2021]]+Tabla1[[#This Row],[ENTRADAS MAYO 2021]]</f>
        <v>10</v>
      </c>
      <c r="Y258" s="215">
        <f>+Tabla1[[#This Row],[STOCK MAYO 2021]]-Tabla1[[#This Row],[REQUISICIONES JUNIO 2021]]+Tabla1[[#This Row],[ENTRADAS JUNIO 2021]]</f>
        <v>10</v>
      </c>
      <c r="Z258" s="40" t="s">
        <v>125</v>
      </c>
      <c r="AA258" s="122">
        <v>46.12</v>
      </c>
      <c r="AB258" s="35">
        <f t="shared" si="9"/>
        <v>54.421599999999998</v>
      </c>
      <c r="AC258" s="94">
        <f>Tabla1[[#This Row],[STOCK JUNIO ]]*Tabla1[[#This Row],[COSTO UNITARIO SIN ITBIS]]</f>
        <v>461.2</v>
      </c>
    </row>
    <row r="259" spans="1:29" s="8" customFormat="1" x14ac:dyDescent="0.25">
      <c r="A259" s="261">
        <v>20</v>
      </c>
      <c r="B259" s="42">
        <v>43636</v>
      </c>
      <c r="C259" s="41" t="s">
        <v>11</v>
      </c>
      <c r="D259" s="42">
        <v>43633</v>
      </c>
      <c r="E259" s="139"/>
      <c r="F259" s="43">
        <v>1072</v>
      </c>
      <c r="G259" s="40" t="s">
        <v>172</v>
      </c>
      <c r="H259" s="65">
        <f>76+39+2</f>
        <v>117</v>
      </c>
      <c r="I259" s="65">
        <f>2+3</f>
        <v>5</v>
      </c>
      <c r="J259" s="65">
        <f>+'INVENTARIO ABRIL-JUNIO 2021'!$H259-'INVENTARIO ABRIL-JUNIO 2021'!$I259</f>
        <v>112</v>
      </c>
      <c r="K259" s="65"/>
      <c r="L259" s="65"/>
      <c r="M259" s="65"/>
      <c r="N259" s="65"/>
      <c r="O259" s="215"/>
      <c r="P259" s="65">
        <f>1+1+2+1+2+2+2+3+3+2+2+2+3+1+1+2+2+4</f>
        <v>36</v>
      </c>
      <c r="Q259" s="65">
        <f>2+1+2+3+2+2+2+2+2</f>
        <v>18</v>
      </c>
      <c r="R259" s="65">
        <f>2+3+2+2+1+1+2+1+2+2+2+2</f>
        <v>22</v>
      </c>
      <c r="S259" s="65">
        <f>2+2+1+2+2+1+2+1</f>
        <v>13</v>
      </c>
      <c r="T259" s="65">
        <f>2+4+2+2+2+3+2+1+1+1</f>
        <v>20</v>
      </c>
      <c r="U259" s="65">
        <f>+Tabla1[[#This Row],[STOCK    FISICO ENERO 2021]]-Tabla1[[#This Row],[REQUISICIONES FEBRERO 2021]]</f>
        <v>76</v>
      </c>
      <c r="V259" s="65">
        <f>+Tabla1[[#This Row],[STOCK  FEBRERO 2021]]-Tabla1[[#This Row],[REQUISICIONES MARZO 2021]]+Tabla1[[#This Row],[ENTRADAS MARZO 2021]]</f>
        <v>58</v>
      </c>
      <c r="W259" s="65">
        <f>+Tabla1[[#This Row],[STOCK MARZO 2021]]-Tabla1[[#This Row],[REQUISICIONES ABRIL 2021]]+Tabla1[[#This Row],[ENTRADAS ABRIL 2021]]</f>
        <v>36</v>
      </c>
      <c r="X259" s="65">
        <f>+Tabla1[[#This Row],[STOCK ABRIL 2021]]-Tabla1[[#This Row],[REQUISICIONES MAYO 2021]]+Tabla1[[#This Row],[ENTRADAS MAYO 2021]]</f>
        <v>23</v>
      </c>
      <c r="Y259" s="65">
        <f>+Tabla1[[#This Row],[STOCK MAYO 2021]]-Tabla1[[#This Row],[REQUISICIONES JUNIO 2021]]+Tabla1[[#This Row],[ENTRADAS JUNIO 2021]]</f>
        <v>3</v>
      </c>
      <c r="Z259" s="40" t="s">
        <v>170</v>
      </c>
      <c r="AA259" s="45">
        <v>129.80000000000001</v>
      </c>
      <c r="AB259" s="35">
        <f t="shared" si="9"/>
        <v>153.16400000000002</v>
      </c>
      <c r="AC259" s="94">
        <f>Tabla1[[#This Row],[STOCK JUNIO ]]*Tabla1[[#This Row],[COSTO UNITARIO SIN ITBIS]]</f>
        <v>389.40000000000003</v>
      </c>
    </row>
    <row r="260" spans="1:29" s="8" customFormat="1" x14ac:dyDescent="0.25">
      <c r="A260" s="261">
        <v>21</v>
      </c>
      <c r="B260" s="42">
        <v>43636</v>
      </c>
      <c r="C260" s="41" t="s">
        <v>11</v>
      </c>
      <c r="D260" s="42">
        <v>43633</v>
      </c>
      <c r="E260" s="139"/>
      <c r="F260" s="43"/>
      <c r="G260" s="40" t="s">
        <v>173</v>
      </c>
      <c r="H260" s="67">
        <v>64</v>
      </c>
      <c r="I260" s="67">
        <v>2</v>
      </c>
      <c r="J260" s="67">
        <f>+'INVENTARIO ABRIL-JUNIO 2021'!$H260-'INVENTARIO ABRIL-JUNIO 2021'!$I260</f>
        <v>62</v>
      </c>
      <c r="K260" s="67"/>
      <c r="L260" s="67"/>
      <c r="M260" s="67"/>
      <c r="N260" s="67"/>
      <c r="O260" s="199"/>
      <c r="P260" s="67"/>
      <c r="Q260" s="67"/>
      <c r="R260" s="67">
        <v>1</v>
      </c>
      <c r="S260" s="67"/>
      <c r="T260" s="67"/>
      <c r="U260" s="67">
        <f>+Tabla1[[#This Row],[STOCK    FISICO ENERO 2021]]-Tabla1[[#This Row],[REQUISICIONES FEBRERO 2021]]</f>
        <v>62</v>
      </c>
      <c r="V260" s="67">
        <f>+Tabla1[[#This Row],[STOCK  FEBRERO 2021]]-Tabla1[[#This Row],[REQUISICIONES MARZO 2021]]+Tabla1[[#This Row],[ENTRADAS MARZO 2021]]</f>
        <v>62</v>
      </c>
      <c r="W260" s="67">
        <f>+Tabla1[[#This Row],[STOCK MARZO 2021]]-Tabla1[[#This Row],[REQUISICIONES ABRIL 2021]]+Tabla1[[#This Row],[ENTRADAS ABRIL 2021]]</f>
        <v>61</v>
      </c>
      <c r="X260" s="67">
        <f>+Tabla1[[#This Row],[STOCK ABRIL 2021]]-Tabla1[[#This Row],[REQUISICIONES MAYO 2021]]+Tabla1[[#This Row],[ENTRADAS MAYO 2021]]</f>
        <v>61</v>
      </c>
      <c r="Y260" s="67">
        <f>+Tabla1[[#This Row],[STOCK MAYO 2021]]-Tabla1[[#This Row],[REQUISICIONES JUNIO 2021]]+Tabla1[[#This Row],[ENTRADAS JUNIO 2021]]</f>
        <v>61</v>
      </c>
      <c r="Z260" s="40" t="s">
        <v>12</v>
      </c>
      <c r="AA260" s="45">
        <v>487.5</v>
      </c>
      <c r="AB260" s="35">
        <f t="shared" si="9"/>
        <v>575.25</v>
      </c>
      <c r="AC260" s="94">
        <f>Tabla1[[#This Row],[STOCK JUNIO ]]*Tabla1[[#This Row],[COSTO UNITARIO SIN ITBIS]]</f>
        <v>29737.5</v>
      </c>
    </row>
    <row r="261" spans="1:29" s="8" customFormat="1" x14ac:dyDescent="0.25">
      <c r="A261" s="261">
        <v>22</v>
      </c>
      <c r="B261" s="42">
        <v>44167</v>
      </c>
      <c r="C261" s="41" t="s">
        <v>11</v>
      </c>
      <c r="D261" s="42">
        <v>44189</v>
      </c>
      <c r="E261" s="139"/>
      <c r="F261" s="43">
        <v>1276</v>
      </c>
      <c r="G261" s="40" t="s">
        <v>174</v>
      </c>
      <c r="H261" s="65">
        <v>81</v>
      </c>
      <c r="I261" s="65">
        <v>3</v>
      </c>
      <c r="J261" s="65">
        <f>+'INVENTARIO ABRIL-JUNIO 2021'!$H261-'INVENTARIO ABRIL-JUNIO 2021'!$I261</f>
        <v>78</v>
      </c>
      <c r="K261" s="65"/>
      <c r="L261" s="65"/>
      <c r="M261" s="65"/>
      <c r="N261" s="65"/>
      <c r="O261" s="215"/>
      <c r="P261" s="65"/>
      <c r="Q261" s="65">
        <f>2+1+10</f>
        <v>13</v>
      </c>
      <c r="R261" s="65">
        <f>4+2</f>
        <v>6</v>
      </c>
      <c r="S261" s="65"/>
      <c r="T261" s="65">
        <f>4+3+2+1</f>
        <v>10</v>
      </c>
      <c r="U261" s="65">
        <f>+Tabla1[[#This Row],[STOCK    FISICO ENERO 2021]]-Tabla1[[#This Row],[REQUISICIONES FEBRERO 2021]]</f>
        <v>78</v>
      </c>
      <c r="V261" s="65">
        <f>+Tabla1[[#This Row],[STOCK  FEBRERO 2021]]-Tabla1[[#This Row],[REQUISICIONES MARZO 2021]]+Tabla1[[#This Row],[ENTRADAS MARZO 2021]]</f>
        <v>65</v>
      </c>
      <c r="W261" s="65">
        <f>+Tabla1[[#This Row],[STOCK MARZO 2021]]-Tabla1[[#This Row],[REQUISICIONES ABRIL 2021]]+Tabla1[[#This Row],[ENTRADAS ABRIL 2021]]</f>
        <v>59</v>
      </c>
      <c r="X261" s="65">
        <f>+Tabla1[[#This Row],[STOCK ABRIL 2021]]-Tabla1[[#This Row],[REQUISICIONES MAYO 2021]]+Tabla1[[#This Row],[ENTRADAS MAYO 2021]]</f>
        <v>59</v>
      </c>
      <c r="Y261" s="65">
        <f>+Tabla1[[#This Row],[STOCK MAYO 2021]]-Tabla1[[#This Row],[REQUISICIONES JUNIO 2021]]+Tabla1[[#This Row],[ENTRADAS JUNIO 2021]]</f>
        <v>49</v>
      </c>
      <c r="Z261" s="40" t="s">
        <v>12</v>
      </c>
      <c r="AA261" s="45">
        <v>1062</v>
      </c>
      <c r="AB261" s="35">
        <f t="shared" si="9"/>
        <v>1253.1600000000001</v>
      </c>
      <c r="AC261" s="94">
        <f>Tabla1[[#This Row],[STOCK JUNIO ]]*Tabla1[[#This Row],[COSTO UNITARIO SIN ITBIS]]</f>
        <v>52038</v>
      </c>
    </row>
    <row r="262" spans="1:29" s="8" customFormat="1" x14ac:dyDescent="0.25">
      <c r="A262" s="261">
        <v>23</v>
      </c>
      <c r="B262" s="117">
        <v>44323</v>
      </c>
      <c r="C262" s="41" t="s">
        <v>11</v>
      </c>
      <c r="D262" s="117">
        <v>44322</v>
      </c>
      <c r="E262" s="138" t="s">
        <v>854</v>
      </c>
      <c r="F262" s="197"/>
      <c r="G262" s="40" t="s">
        <v>174</v>
      </c>
      <c r="H262" s="120"/>
      <c r="I262" s="120"/>
      <c r="J262" s="120">
        <f>+'INVENTARIO ABRIL-JUNIO 2021'!$H262-'INVENTARIO ABRIL-JUNIO 2021'!$I262</f>
        <v>0</v>
      </c>
      <c r="K262" s="120"/>
      <c r="L262" s="120"/>
      <c r="M262" s="120"/>
      <c r="N262" s="126">
        <v>12</v>
      </c>
      <c r="O262" s="121"/>
      <c r="P262" s="120"/>
      <c r="Q262" s="120"/>
      <c r="R262" s="120"/>
      <c r="S262" s="120"/>
      <c r="T262" s="120"/>
      <c r="U262" s="121">
        <f>+Tabla1[[#This Row],[STOCK    FISICO ENERO 2021]]-Tabla1[[#This Row],[REQUISICIONES FEBRERO 2021]]</f>
        <v>0</v>
      </c>
      <c r="V262" s="121">
        <f>+Tabla1[[#This Row],[STOCK  FEBRERO 2021]]-Tabla1[[#This Row],[REQUISICIONES MARZO 2021]]+Tabla1[[#This Row],[ENTRADAS MARZO 2021]]</f>
        <v>0</v>
      </c>
      <c r="W262" s="215">
        <f>+Tabla1[[#This Row],[STOCK MARZO 2021]]-Tabla1[[#This Row],[REQUISICIONES ABRIL 2021]]+Tabla1[[#This Row],[ENTRADAS ABRIL 2021]]</f>
        <v>0</v>
      </c>
      <c r="X262" s="215">
        <f>+Tabla1[[#This Row],[STOCK ABRIL 2021]]-Tabla1[[#This Row],[REQUISICIONES MAYO 2021]]+Tabla1[[#This Row],[ENTRADAS MAYO 2021]]</f>
        <v>12</v>
      </c>
      <c r="Y262" s="215">
        <f>+Tabla1[[#This Row],[STOCK MAYO 2021]]-Tabla1[[#This Row],[REQUISICIONES JUNIO 2021]]+Tabla1[[#This Row],[ENTRADAS JUNIO 2021]]</f>
        <v>12</v>
      </c>
      <c r="Z262" s="40" t="s">
        <v>12</v>
      </c>
      <c r="AA262" s="122">
        <v>350</v>
      </c>
      <c r="AB262" s="35">
        <f t="shared" si="9"/>
        <v>413</v>
      </c>
      <c r="AC262" s="94">
        <f>Tabla1[[#This Row],[STOCK JUNIO ]]*Tabla1[[#This Row],[COSTO UNITARIO SIN ITBIS]]</f>
        <v>4200</v>
      </c>
    </row>
    <row r="263" spans="1:29" s="8" customFormat="1" x14ac:dyDescent="0.25">
      <c r="A263" s="261">
        <v>24</v>
      </c>
      <c r="B263" s="42">
        <v>44167</v>
      </c>
      <c r="C263" s="41" t="s">
        <v>11</v>
      </c>
      <c r="D263" s="42">
        <v>44159</v>
      </c>
      <c r="E263" s="139"/>
      <c r="F263" s="43">
        <v>1277</v>
      </c>
      <c r="G263" s="40" t="s">
        <v>175</v>
      </c>
      <c r="H263" s="65">
        <v>12</v>
      </c>
      <c r="I263" s="65"/>
      <c r="J263" s="65">
        <f>+'INVENTARIO ABRIL-JUNIO 2021'!$H263-'INVENTARIO ABRIL-JUNIO 2021'!$I263</f>
        <v>12</v>
      </c>
      <c r="K263" s="65"/>
      <c r="L263" s="65"/>
      <c r="M263" s="65"/>
      <c r="N263" s="65"/>
      <c r="O263" s="215"/>
      <c r="P263" s="65"/>
      <c r="Q263" s="65"/>
      <c r="R263" s="65">
        <v>1</v>
      </c>
      <c r="S263" s="65"/>
      <c r="T263" s="65">
        <v>4</v>
      </c>
      <c r="U263" s="65">
        <f>+Tabla1[[#This Row],[STOCK    FISICO ENERO 2021]]-Tabla1[[#This Row],[REQUISICIONES FEBRERO 2021]]</f>
        <v>12</v>
      </c>
      <c r="V263" s="65">
        <f>+Tabla1[[#This Row],[STOCK  FEBRERO 2021]]-Tabla1[[#This Row],[REQUISICIONES MARZO 2021]]+Tabla1[[#This Row],[ENTRADAS MARZO 2021]]</f>
        <v>12</v>
      </c>
      <c r="W263" s="65">
        <f>+Tabla1[[#This Row],[STOCK MARZO 2021]]-Tabla1[[#This Row],[REQUISICIONES ABRIL 2021]]+Tabla1[[#This Row],[ENTRADAS ABRIL 2021]]</f>
        <v>11</v>
      </c>
      <c r="X263" s="65">
        <f>+Tabla1[[#This Row],[STOCK ABRIL 2021]]-Tabla1[[#This Row],[REQUISICIONES MAYO 2021]]+Tabla1[[#This Row],[ENTRADAS MAYO 2021]]</f>
        <v>11</v>
      </c>
      <c r="Y263" s="65">
        <f>+Tabla1[[#This Row],[STOCK MAYO 2021]]-Tabla1[[#This Row],[REQUISICIONES JUNIO 2021]]+Tabla1[[#This Row],[ENTRADAS JUNIO 2021]]</f>
        <v>7</v>
      </c>
      <c r="Z263" s="40" t="s">
        <v>12</v>
      </c>
      <c r="AA263" s="45">
        <v>825</v>
      </c>
      <c r="AB263" s="35">
        <f t="shared" si="9"/>
        <v>973.5</v>
      </c>
      <c r="AC263" s="94">
        <f>Tabla1[[#This Row],[STOCK JUNIO ]]*Tabla1[[#This Row],[COSTO UNITARIO SIN ITBIS]]</f>
        <v>5775</v>
      </c>
    </row>
    <row r="264" spans="1:29" s="8" customFormat="1" x14ac:dyDescent="0.25">
      <c r="A264" s="261">
        <v>25</v>
      </c>
      <c r="B264" s="42">
        <v>43636</v>
      </c>
      <c r="C264" s="41" t="s">
        <v>11</v>
      </c>
      <c r="D264" s="42">
        <v>43633</v>
      </c>
      <c r="E264" s="139"/>
      <c r="F264" s="43" t="s">
        <v>20</v>
      </c>
      <c r="G264" s="40" t="s">
        <v>176</v>
      </c>
      <c r="H264" s="65">
        <f>13+12</f>
        <v>25</v>
      </c>
      <c r="I264" s="65"/>
      <c r="J264" s="65">
        <f>+'INVENTARIO ABRIL-JUNIO 2021'!$H264-'INVENTARIO ABRIL-JUNIO 2021'!$I264</f>
        <v>25</v>
      </c>
      <c r="K264" s="65"/>
      <c r="L264" s="65"/>
      <c r="M264" s="65"/>
      <c r="N264" s="65"/>
      <c r="O264" s="215"/>
      <c r="P264" s="65">
        <v>1</v>
      </c>
      <c r="Q264" s="65">
        <f>1+2</f>
        <v>3</v>
      </c>
      <c r="R264" s="65">
        <f>1+1</f>
        <v>2</v>
      </c>
      <c r="S264" s="65">
        <v>1</v>
      </c>
      <c r="T264" s="65">
        <f>4+2+1+1</f>
        <v>8</v>
      </c>
      <c r="U264" s="65">
        <f>+Tabla1[[#This Row],[STOCK    FISICO ENERO 2021]]-Tabla1[[#This Row],[REQUISICIONES FEBRERO 2021]]</f>
        <v>24</v>
      </c>
      <c r="V264" s="65">
        <f>+Tabla1[[#This Row],[STOCK  FEBRERO 2021]]-Tabla1[[#This Row],[REQUISICIONES MARZO 2021]]+Tabla1[[#This Row],[ENTRADAS MARZO 2021]]</f>
        <v>21</v>
      </c>
      <c r="W264" s="65">
        <f>+Tabla1[[#This Row],[STOCK MARZO 2021]]-Tabla1[[#This Row],[REQUISICIONES ABRIL 2021]]+Tabla1[[#This Row],[ENTRADAS ABRIL 2021]]</f>
        <v>19</v>
      </c>
      <c r="X264" s="65">
        <f>+Tabla1[[#This Row],[STOCK ABRIL 2021]]-Tabla1[[#This Row],[REQUISICIONES MAYO 2021]]+Tabla1[[#This Row],[ENTRADAS MAYO 2021]]</f>
        <v>18</v>
      </c>
      <c r="Y264" s="65">
        <f>+Tabla1[[#This Row],[STOCK MAYO 2021]]-Tabla1[[#This Row],[REQUISICIONES JUNIO 2021]]+Tabla1[[#This Row],[ENTRADAS JUNIO 2021]]</f>
        <v>10</v>
      </c>
      <c r="Z264" s="40" t="s">
        <v>12</v>
      </c>
      <c r="AA264" s="45">
        <v>900</v>
      </c>
      <c r="AB264" s="35">
        <f t="shared" si="9"/>
        <v>1062</v>
      </c>
      <c r="AC264" s="94">
        <f>Tabla1[[#This Row],[STOCK JUNIO ]]*Tabla1[[#This Row],[COSTO UNITARIO SIN ITBIS]]</f>
        <v>9000</v>
      </c>
    </row>
    <row r="265" spans="1:29" s="8" customFormat="1" x14ac:dyDescent="0.25">
      <c r="A265" s="261">
        <v>26</v>
      </c>
      <c r="B265" s="42">
        <v>43636</v>
      </c>
      <c r="C265" s="41" t="s">
        <v>11</v>
      </c>
      <c r="D265" s="42">
        <v>43633</v>
      </c>
      <c r="E265" s="139"/>
      <c r="F265" s="43"/>
      <c r="G265" s="40" t="s">
        <v>177</v>
      </c>
      <c r="H265" s="67">
        <v>21</v>
      </c>
      <c r="I265" s="67"/>
      <c r="J265" s="67">
        <f>+'INVENTARIO ABRIL-JUNIO 2021'!$H265-'INVENTARIO ABRIL-JUNIO 2021'!$I265</f>
        <v>21</v>
      </c>
      <c r="K265" s="67"/>
      <c r="L265" s="67"/>
      <c r="M265" s="67"/>
      <c r="N265" s="67"/>
      <c r="O265" s="199"/>
      <c r="P265" s="67"/>
      <c r="Q265" s="67"/>
      <c r="R265" s="67"/>
      <c r="S265" s="67"/>
      <c r="T265" s="67"/>
      <c r="U265" s="67">
        <f>+Tabla1[[#This Row],[STOCK    FISICO ENERO 2021]]-Tabla1[[#This Row],[REQUISICIONES FEBRERO 2021]]</f>
        <v>21</v>
      </c>
      <c r="V265" s="67">
        <f>+Tabla1[[#This Row],[STOCK  FEBRERO 2021]]-Tabla1[[#This Row],[REQUISICIONES MARZO 2021]]+Tabla1[[#This Row],[ENTRADAS MARZO 2021]]</f>
        <v>21</v>
      </c>
      <c r="W265" s="67">
        <f>+Tabla1[[#This Row],[STOCK MARZO 2021]]-Tabla1[[#This Row],[REQUISICIONES ABRIL 2021]]+Tabla1[[#This Row],[ENTRADAS ABRIL 2021]]</f>
        <v>21</v>
      </c>
      <c r="X265" s="67">
        <f>+Tabla1[[#This Row],[STOCK ABRIL 2021]]-Tabla1[[#This Row],[REQUISICIONES MAYO 2021]]+Tabla1[[#This Row],[ENTRADAS MAYO 2021]]</f>
        <v>21</v>
      </c>
      <c r="Y265" s="67">
        <f>+Tabla1[[#This Row],[STOCK MAYO 2021]]-Tabla1[[#This Row],[REQUISICIONES JUNIO 2021]]+Tabla1[[#This Row],[ENTRADAS JUNIO 2021]]</f>
        <v>21</v>
      </c>
      <c r="Z265" s="40" t="s">
        <v>12</v>
      </c>
      <c r="AA265" s="45">
        <v>81.760000000000005</v>
      </c>
      <c r="AB265" s="35">
        <f t="shared" si="9"/>
        <v>96.476800000000011</v>
      </c>
      <c r="AC265" s="94">
        <f>Tabla1[[#This Row],[STOCK JUNIO ]]*Tabla1[[#This Row],[COSTO UNITARIO SIN ITBIS]]</f>
        <v>1716.96</v>
      </c>
    </row>
    <row r="266" spans="1:29" s="8" customFormat="1" x14ac:dyDescent="0.25">
      <c r="A266" s="261">
        <v>27</v>
      </c>
      <c r="B266" s="42">
        <v>44109</v>
      </c>
      <c r="C266" s="41" t="s">
        <v>11</v>
      </c>
      <c r="D266" s="42">
        <v>44109</v>
      </c>
      <c r="E266" s="139"/>
      <c r="F266" s="43">
        <v>1823</v>
      </c>
      <c r="G266" s="40" t="s">
        <v>178</v>
      </c>
      <c r="H266" s="65">
        <v>16</v>
      </c>
      <c r="I266" s="65"/>
      <c r="J266" s="65">
        <f>+'INVENTARIO ABRIL-JUNIO 2021'!$H266-'INVENTARIO ABRIL-JUNIO 2021'!$I266</f>
        <v>16</v>
      </c>
      <c r="K266" s="65"/>
      <c r="L266" s="65"/>
      <c r="M266" s="65"/>
      <c r="N266" s="65"/>
      <c r="O266" s="215"/>
      <c r="P266" s="65"/>
      <c r="Q266" s="65"/>
      <c r="R266" s="65"/>
      <c r="S266" s="65"/>
      <c r="T266" s="65"/>
      <c r="U266" s="65">
        <f>+Tabla1[[#This Row],[STOCK    FISICO ENERO 2021]]-Tabla1[[#This Row],[REQUISICIONES FEBRERO 2021]]</f>
        <v>16</v>
      </c>
      <c r="V266" s="65">
        <f>+Tabla1[[#This Row],[STOCK  FEBRERO 2021]]-Tabla1[[#This Row],[REQUISICIONES MARZO 2021]]+Tabla1[[#This Row],[ENTRADAS MARZO 2021]]</f>
        <v>16</v>
      </c>
      <c r="W266" s="65">
        <f>+Tabla1[[#This Row],[STOCK MARZO 2021]]-Tabla1[[#This Row],[REQUISICIONES ABRIL 2021]]+Tabla1[[#This Row],[ENTRADAS ABRIL 2021]]</f>
        <v>16</v>
      </c>
      <c r="X266" s="65">
        <f>+Tabla1[[#This Row],[STOCK ABRIL 2021]]-Tabla1[[#This Row],[REQUISICIONES MAYO 2021]]+Tabla1[[#This Row],[ENTRADAS MAYO 2021]]</f>
        <v>16</v>
      </c>
      <c r="Y266" s="65">
        <f>+Tabla1[[#This Row],[STOCK MAYO 2021]]-Tabla1[[#This Row],[REQUISICIONES JUNIO 2021]]+Tabla1[[#This Row],[ENTRADAS JUNIO 2021]]</f>
        <v>16</v>
      </c>
      <c r="Z266" s="40" t="s">
        <v>105</v>
      </c>
      <c r="AA266" s="45">
        <v>0</v>
      </c>
      <c r="AB266" s="35">
        <f t="shared" si="9"/>
        <v>0</v>
      </c>
      <c r="AC266" s="94">
        <f>Tabla1[[#This Row],[STOCK JUNIO ]]*Tabla1[[#This Row],[COSTO UNITARIO SIN ITBIS]]</f>
        <v>0</v>
      </c>
    </row>
    <row r="267" spans="1:29" s="8" customFormat="1" x14ac:dyDescent="0.25">
      <c r="A267" s="261">
        <v>28</v>
      </c>
      <c r="B267" s="42">
        <v>44028</v>
      </c>
      <c r="C267" s="41" t="s">
        <v>11</v>
      </c>
      <c r="D267" s="42">
        <v>44028</v>
      </c>
      <c r="E267" s="139"/>
      <c r="F267" s="43">
        <v>1275</v>
      </c>
      <c r="G267" s="40" t="s">
        <v>179</v>
      </c>
      <c r="H267" s="65">
        <v>17</v>
      </c>
      <c r="I267" s="65"/>
      <c r="J267" s="65">
        <f>+'INVENTARIO ABRIL-JUNIO 2021'!$H267-'INVENTARIO ABRIL-JUNIO 2021'!$I267</f>
        <v>17</v>
      </c>
      <c r="K267" s="65"/>
      <c r="L267" s="65"/>
      <c r="M267" s="65"/>
      <c r="N267" s="65"/>
      <c r="O267" s="215"/>
      <c r="P267" s="65">
        <f>1+1+1+2</f>
        <v>5</v>
      </c>
      <c r="Q267" s="65"/>
      <c r="R267" s="65">
        <f>1+1</f>
        <v>2</v>
      </c>
      <c r="S267" s="65"/>
      <c r="T267" s="65"/>
      <c r="U267" s="65">
        <f>+Tabla1[[#This Row],[STOCK    FISICO ENERO 2021]]-Tabla1[[#This Row],[REQUISICIONES FEBRERO 2021]]</f>
        <v>12</v>
      </c>
      <c r="V267" s="65">
        <f>+Tabla1[[#This Row],[STOCK  FEBRERO 2021]]-Tabla1[[#This Row],[REQUISICIONES MARZO 2021]]+Tabla1[[#This Row],[ENTRADAS MARZO 2021]]</f>
        <v>12</v>
      </c>
      <c r="W267" s="65">
        <f>+Tabla1[[#This Row],[STOCK MARZO 2021]]-Tabla1[[#This Row],[REQUISICIONES ABRIL 2021]]+Tabla1[[#This Row],[ENTRADAS ABRIL 2021]]</f>
        <v>10</v>
      </c>
      <c r="X267" s="65">
        <f>+Tabla1[[#This Row],[STOCK ABRIL 2021]]-Tabla1[[#This Row],[REQUISICIONES MAYO 2021]]+Tabla1[[#This Row],[ENTRADAS MAYO 2021]]</f>
        <v>10</v>
      </c>
      <c r="Y267" s="65">
        <f>+Tabla1[[#This Row],[STOCK MAYO 2021]]-Tabla1[[#This Row],[REQUISICIONES JUNIO 2021]]+Tabla1[[#This Row],[ENTRADAS JUNIO 2021]]</f>
        <v>10</v>
      </c>
      <c r="Z267" s="40" t="s">
        <v>12</v>
      </c>
      <c r="AA267" s="45">
        <v>235.01</v>
      </c>
      <c r="AB267" s="35">
        <f t="shared" si="9"/>
        <v>277.31180000000001</v>
      </c>
      <c r="AC267" s="94">
        <f>Tabla1[[#This Row],[STOCK JUNIO ]]*Tabla1[[#This Row],[COSTO UNITARIO SIN ITBIS]]</f>
        <v>2350.1</v>
      </c>
    </row>
    <row r="268" spans="1:29" s="8" customFormat="1" x14ac:dyDescent="0.25">
      <c r="A268" s="261">
        <v>29</v>
      </c>
      <c r="B268" s="42">
        <v>44168</v>
      </c>
      <c r="C268" s="41" t="s">
        <v>11</v>
      </c>
      <c r="D268" s="42">
        <v>43633</v>
      </c>
      <c r="E268" s="139"/>
      <c r="F268" s="43">
        <v>1261</v>
      </c>
      <c r="G268" s="40" t="s">
        <v>180</v>
      </c>
      <c r="H268" s="65">
        <v>45</v>
      </c>
      <c r="I268" s="65">
        <f>1+1+1</f>
        <v>3</v>
      </c>
      <c r="J268" s="65">
        <f>+'INVENTARIO ABRIL-JUNIO 2021'!$H268-'INVENTARIO ABRIL-JUNIO 2021'!$I268</f>
        <v>42</v>
      </c>
      <c r="K268" s="65"/>
      <c r="L268" s="65"/>
      <c r="M268" s="65"/>
      <c r="N268" s="65"/>
      <c r="O268" s="215"/>
      <c r="P268" s="65">
        <f>1+1+1+1+1</f>
        <v>5</v>
      </c>
      <c r="Q268" s="65">
        <f>2+2+1+1+2+2+1+1</f>
        <v>12</v>
      </c>
      <c r="R268" s="65">
        <f>1+1+1+1</f>
        <v>4</v>
      </c>
      <c r="S268" s="65">
        <f>1+1+1+1+1+1+1</f>
        <v>7</v>
      </c>
      <c r="T268" s="65">
        <f>1+1+1+1+1+2</f>
        <v>7</v>
      </c>
      <c r="U268" s="65">
        <f>+Tabla1[[#This Row],[STOCK    FISICO ENERO 2021]]-Tabla1[[#This Row],[REQUISICIONES FEBRERO 2021]]</f>
        <v>37</v>
      </c>
      <c r="V268" s="65">
        <f>+Tabla1[[#This Row],[STOCK  FEBRERO 2021]]-Tabla1[[#This Row],[REQUISICIONES MARZO 2021]]+Tabla1[[#This Row],[ENTRADAS MARZO 2021]]</f>
        <v>25</v>
      </c>
      <c r="W268" s="65">
        <f>+Tabla1[[#This Row],[STOCK MARZO 2021]]-Tabla1[[#This Row],[REQUISICIONES ABRIL 2021]]+Tabla1[[#This Row],[ENTRADAS ABRIL 2021]]</f>
        <v>21</v>
      </c>
      <c r="X268" s="65">
        <f>+Tabla1[[#This Row],[STOCK ABRIL 2021]]-Tabla1[[#This Row],[REQUISICIONES MAYO 2021]]+Tabla1[[#This Row],[ENTRADAS MAYO 2021]]</f>
        <v>14</v>
      </c>
      <c r="Y268" s="65">
        <f>+Tabla1[[#This Row],[STOCK MAYO 2021]]-Tabla1[[#This Row],[REQUISICIONES JUNIO 2021]]+Tabla1[[#This Row],[ENTRADAS JUNIO 2021]]</f>
        <v>7</v>
      </c>
      <c r="Z268" s="40" t="s">
        <v>48</v>
      </c>
      <c r="AA268" s="45">
        <v>418.9</v>
      </c>
      <c r="AB268" s="35">
        <f t="shared" si="9"/>
        <v>494.30199999999996</v>
      </c>
      <c r="AC268" s="94">
        <f>Tabla1[[#This Row],[STOCK JUNIO ]]*Tabla1[[#This Row],[COSTO UNITARIO SIN ITBIS]]</f>
        <v>2932.2999999999997</v>
      </c>
    </row>
    <row r="269" spans="1:29" s="8" customFormat="1" x14ac:dyDescent="0.25">
      <c r="A269" s="261">
        <v>30</v>
      </c>
      <c r="B269" s="117">
        <v>44323</v>
      </c>
      <c r="C269" s="41" t="s">
        <v>11</v>
      </c>
      <c r="D269" s="117">
        <v>44322</v>
      </c>
      <c r="E269" s="138" t="s">
        <v>854</v>
      </c>
      <c r="F269" s="197"/>
      <c r="G269" s="40" t="s">
        <v>180</v>
      </c>
      <c r="H269" s="120"/>
      <c r="I269" s="120"/>
      <c r="J269" s="120">
        <f>+'INVENTARIO ABRIL-JUNIO 2021'!$H269-'INVENTARIO ABRIL-JUNIO 2021'!$I269</f>
        <v>0</v>
      </c>
      <c r="K269" s="120"/>
      <c r="L269" s="120"/>
      <c r="M269" s="120"/>
      <c r="N269" s="126">
        <v>60</v>
      </c>
      <c r="O269" s="121"/>
      <c r="P269" s="120"/>
      <c r="Q269" s="120"/>
      <c r="R269" s="120"/>
      <c r="S269" s="120"/>
      <c r="T269" s="120"/>
      <c r="U269" s="121">
        <f>+Tabla1[[#This Row],[STOCK    FISICO ENERO 2021]]-Tabla1[[#This Row],[REQUISICIONES FEBRERO 2021]]</f>
        <v>0</v>
      </c>
      <c r="V269" s="121">
        <f>+Tabla1[[#This Row],[STOCK  FEBRERO 2021]]-Tabla1[[#This Row],[REQUISICIONES MARZO 2021]]+Tabla1[[#This Row],[ENTRADAS MARZO 2021]]</f>
        <v>0</v>
      </c>
      <c r="W269" s="215">
        <f>+Tabla1[[#This Row],[STOCK MARZO 2021]]-Tabla1[[#This Row],[REQUISICIONES ABRIL 2021]]+Tabla1[[#This Row],[ENTRADAS ABRIL 2021]]</f>
        <v>0</v>
      </c>
      <c r="X269" s="215">
        <f>+Tabla1[[#This Row],[STOCK ABRIL 2021]]-Tabla1[[#This Row],[REQUISICIONES MAYO 2021]]+Tabla1[[#This Row],[ENTRADAS MAYO 2021]]</f>
        <v>60</v>
      </c>
      <c r="Y269" s="215">
        <f>+Tabla1[[#This Row],[STOCK MAYO 2021]]-Tabla1[[#This Row],[REQUISICIONES JUNIO 2021]]+Tabla1[[#This Row],[ENTRADAS JUNIO 2021]]</f>
        <v>60</v>
      </c>
      <c r="Z269" s="40" t="s">
        <v>48</v>
      </c>
      <c r="AA269" s="122">
        <v>366</v>
      </c>
      <c r="AB269" s="35">
        <f t="shared" si="9"/>
        <v>431.88</v>
      </c>
      <c r="AC269" s="94">
        <f>Tabla1[[#This Row],[STOCK JUNIO ]]*Tabla1[[#This Row],[COSTO UNITARIO SIN ITBIS]]</f>
        <v>21960</v>
      </c>
    </row>
    <row r="270" spans="1:29" s="8" customFormat="1" x14ac:dyDescent="0.25">
      <c r="A270" s="261">
        <v>31</v>
      </c>
      <c r="B270" s="42">
        <v>44168</v>
      </c>
      <c r="C270" s="41" t="s">
        <v>11</v>
      </c>
      <c r="D270" s="42">
        <v>43633</v>
      </c>
      <c r="E270" s="139"/>
      <c r="F270" s="43">
        <v>1088</v>
      </c>
      <c r="G270" s="40" t="s">
        <v>181</v>
      </c>
      <c r="H270" s="65">
        <v>34</v>
      </c>
      <c r="I270" s="65">
        <f>2+2</f>
        <v>4</v>
      </c>
      <c r="J270" s="65">
        <f>+'INVENTARIO ABRIL-JUNIO 2021'!$H270-'INVENTARIO ABRIL-JUNIO 2021'!$I270</f>
        <v>30</v>
      </c>
      <c r="K270" s="65"/>
      <c r="L270" s="65"/>
      <c r="M270" s="65"/>
      <c r="N270" s="65"/>
      <c r="O270" s="215"/>
      <c r="P270" s="65">
        <f>1+1+2+1+1+2+1</f>
        <v>9</v>
      </c>
      <c r="Q270" s="65">
        <f>1+1+1+2+3+2</f>
        <v>10</v>
      </c>
      <c r="R270" s="65">
        <f>2+1</f>
        <v>3</v>
      </c>
      <c r="S270" s="65">
        <f>1+2+1+2+2</f>
        <v>8</v>
      </c>
      <c r="T270" s="65"/>
      <c r="U270" s="65">
        <f>+Tabla1[[#This Row],[STOCK    FISICO ENERO 2021]]-Tabla1[[#This Row],[REQUISICIONES FEBRERO 2021]]</f>
        <v>21</v>
      </c>
      <c r="V270" s="65">
        <f>+Tabla1[[#This Row],[STOCK  FEBRERO 2021]]-Tabla1[[#This Row],[REQUISICIONES MARZO 2021]]+Tabla1[[#This Row],[ENTRADAS MARZO 2021]]</f>
        <v>11</v>
      </c>
      <c r="W270" s="65">
        <f>+Tabla1[[#This Row],[STOCK MARZO 2021]]-Tabla1[[#This Row],[REQUISICIONES ABRIL 2021]]+Tabla1[[#This Row],[ENTRADAS ABRIL 2021]]</f>
        <v>8</v>
      </c>
      <c r="X270" s="65">
        <f>+Tabla1[[#This Row],[STOCK ABRIL 2021]]-Tabla1[[#This Row],[REQUISICIONES MAYO 2021]]+Tabla1[[#This Row],[ENTRADAS MAYO 2021]]</f>
        <v>0</v>
      </c>
      <c r="Y270" s="65">
        <f>+Tabla1[[#This Row],[STOCK MAYO 2021]]-Tabla1[[#This Row],[REQUISICIONES JUNIO 2021]]+Tabla1[[#This Row],[ENTRADAS JUNIO 2021]]</f>
        <v>0</v>
      </c>
      <c r="Z270" s="40" t="s">
        <v>48</v>
      </c>
      <c r="AA270" s="45">
        <v>200.6</v>
      </c>
      <c r="AB270" s="35">
        <f t="shared" si="9"/>
        <v>236.708</v>
      </c>
      <c r="AC270" s="94">
        <f>Tabla1[[#This Row],[STOCK JUNIO ]]*Tabla1[[#This Row],[COSTO UNITARIO SIN ITBIS]]</f>
        <v>0</v>
      </c>
    </row>
    <row r="271" spans="1:29" s="8" customFormat="1" x14ac:dyDescent="0.25">
      <c r="A271" s="261">
        <v>32</v>
      </c>
      <c r="B271" s="117">
        <v>44323</v>
      </c>
      <c r="C271" s="41" t="s">
        <v>11</v>
      </c>
      <c r="D271" s="117">
        <v>44322</v>
      </c>
      <c r="E271" s="138" t="s">
        <v>854</v>
      </c>
      <c r="F271" s="197"/>
      <c r="G271" s="40" t="s">
        <v>181</v>
      </c>
      <c r="H271" s="120"/>
      <c r="I271" s="120"/>
      <c r="J271" s="120">
        <f>+'INVENTARIO ABRIL-JUNIO 2021'!$H271-'INVENTARIO ABRIL-JUNIO 2021'!$I271</f>
        <v>0</v>
      </c>
      <c r="K271" s="120"/>
      <c r="L271" s="120"/>
      <c r="M271" s="120"/>
      <c r="N271" s="126">
        <v>30</v>
      </c>
      <c r="O271" s="121"/>
      <c r="P271" s="120"/>
      <c r="Q271" s="120"/>
      <c r="R271" s="120"/>
      <c r="S271" s="120">
        <f>2+2</f>
        <v>4</v>
      </c>
      <c r="T271" s="120">
        <f>1+1+1+2+2</f>
        <v>7</v>
      </c>
      <c r="U271" s="121">
        <f>+Tabla1[[#This Row],[STOCK    FISICO ENERO 2021]]-Tabla1[[#This Row],[REQUISICIONES FEBRERO 2021]]</f>
        <v>0</v>
      </c>
      <c r="V271" s="121">
        <f>+Tabla1[[#This Row],[STOCK  FEBRERO 2021]]-Tabla1[[#This Row],[REQUISICIONES MARZO 2021]]+Tabla1[[#This Row],[ENTRADAS MARZO 2021]]</f>
        <v>0</v>
      </c>
      <c r="W271" s="215">
        <f>+Tabla1[[#This Row],[STOCK MARZO 2021]]-Tabla1[[#This Row],[REQUISICIONES ABRIL 2021]]+Tabla1[[#This Row],[ENTRADAS ABRIL 2021]]</f>
        <v>0</v>
      </c>
      <c r="X271" s="215">
        <f>+Tabla1[[#This Row],[STOCK ABRIL 2021]]-Tabla1[[#This Row],[REQUISICIONES MAYO 2021]]+Tabla1[[#This Row],[ENTRADAS MAYO 2021]]</f>
        <v>26</v>
      </c>
      <c r="Y271" s="215">
        <f>+Tabla1[[#This Row],[STOCK MAYO 2021]]-Tabla1[[#This Row],[REQUISICIONES JUNIO 2021]]+Tabla1[[#This Row],[ENTRADAS JUNIO 2021]]</f>
        <v>19</v>
      </c>
      <c r="Z271" s="40" t="s">
        <v>48</v>
      </c>
      <c r="AA271" s="122">
        <v>230</v>
      </c>
      <c r="AB271" s="35">
        <f t="shared" si="9"/>
        <v>271.39999999999998</v>
      </c>
      <c r="AC271" s="94">
        <f>Tabla1[[#This Row],[STOCK JUNIO ]]*Tabla1[[#This Row],[COSTO UNITARIO SIN ITBIS]]</f>
        <v>4370</v>
      </c>
    </row>
    <row r="272" spans="1:29" s="8" customFormat="1" x14ac:dyDescent="0.25">
      <c r="A272" s="261">
        <v>33</v>
      </c>
      <c r="B272" s="117">
        <v>44323</v>
      </c>
      <c r="C272" s="41" t="s">
        <v>11</v>
      </c>
      <c r="D272" s="117">
        <v>44322</v>
      </c>
      <c r="E272" s="138" t="s">
        <v>854</v>
      </c>
      <c r="F272" s="197"/>
      <c r="G272" s="40" t="s">
        <v>855</v>
      </c>
      <c r="H272" s="120"/>
      <c r="I272" s="120"/>
      <c r="J272" s="120">
        <f>+'INVENTARIO ABRIL-JUNIO 2021'!$H272-'INVENTARIO ABRIL-JUNIO 2021'!$I272</f>
        <v>0</v>
      </c>
      <c r="K272" s="120"/>
      <c r="L272" s="120"/>
      <c r="M272" s="120"/>
      <c r="N272" s="126">
        <v>60</v>
      </c>
      <c r="O272" s="121"/>
      <c r="P272" s="120"/>
      <c r="Q272" s="120"/>
      <c r="R272" s="120"/>
      <c r="S272" s="120">
        <f>1+1+1+1</f>
        <v>4</v>
      </c>
      <c r="T272" s="120">
        <f>1+1+1+1+1+1</f>
        <v>6</v>
      </c>
      <c r="U272" s="121">
        <f>+Tabla1[[#This Row],[STOCK    FISICO ENERO 2021]]-Tabla1[[#This Row],[REQUISICIONES FEBRERO 2021]]</f>
        <v>0</v>
      </c>
      <c r="V272" s="121">
        <f>+Tabla1[[#This Row],[STOCK  FEBRERO 2021]]-Tabla1[[#This Row],[REQUISICIONES MARZO 2021]]+Tabla1[[#This Row],[ENTRADAS MARZO 2021]]</f>
        <v>0</v>
      </c>
      <c r="W272" s="215">
        <f>+Tabla1[[#This Row],[STOCK MARZO 2021]]-Tabla1[[#This Row],[REQUISICIONES ABRIL 2021]]+Tabla1[[#This Row],[ENTRADAS ABRIL 2021]]</f>
        <v>0</v>
      </c>
      <c r="X272" s="215">
        <f>+Tabla1[[#This Row],[STOCK ABRIL 2021]]-Tabla1[[#This Row],[REQUISICIONES MAYO 2021]]+Tabla1[[#This Row],[ENTRADAS MAYO 2021]]</f>
        <v>56</v>
      </c>
      <c r="Y272" s="215">
        <f>+Tabla1[[#This Row],[STOCK MAYO 2021]]-Tabla1[[#This Row],[REQUISICIONES JUNIO 2021]]+Tabla1[[#This Row],[ENTRADAS JUNIO 2021]]</f>
        <v>50</v>
      </c>
      <c r="Z272" s="40" t="s">
        <v>48</v>
      </c>
      <c r="AA272" s="122">
        <v>81.25</v>
      </c>
      <c r="AB272" s="35">
        <f t="shared" si="9"/>
        <v>95.875</v>
      </c>
      <c r="AC272" s="94">
        <f>Tabla1[[#This Row],[STOCK JUNIO ]]*Tabla1[[#This Row],[COSTO UNITARIO SIN ITBIS]]</f>
        <v>4062.5</v>
      </c>
    </row>
    <row r="273" spans="1:29" s="8" customFormat="1" x14ac:dyDescent="0.25">
      <c r="A273" s="261">
        <v>34</v>
      </c>
      <c r="B273" s="117">
        <v>44286</v>
      </c>
      <c r="C273" s="41" t="s">
        <v>11</v>
      </c>
      <c r="D273" s="117">
        <v>44286</v>
      </c>
      <c r="E273" s="138" t="s">
        <v>755</v>
      </c>
      <c r="F273" s="118"/>
      <c r="G273" s="119" t="s">
        <v>765</v>
      </c>
      <c r="H273" s="120"/>
      <c r="I273" s="120"/>
      <c r="J273" s="120">
        <f>+'INVENTARIO ABRIL-JUNIO 2021'!$H273-'INVENTARIO ABRIL-JUNIO 2021'!$I273</f>
        <v>0</v>
      </c>
      <c r="K273" s="120"/>
      <c r="L273" s="120">
        <v>20</v>
      </c>
      <c r="M273" s="120"/>
      <c r="N273" s="120"/>
      <c r="O273" s="121"/>
      <c r="P273" s="120"/>
      <c r="Q273" s="120"/>
      <c r="R273" s="120"/>
      <c r="S273" s="120"/>
      <c r="T273" s="120"/>
      <c r="U273" s="121">
        <f>+Tabla1[[#This Row],[STOCK    FISICO ENERO 2021]]-Tabla1[[#This Row],[REQUISICIONES FEBRERO 2021]]</f>
        <v>0</v>
      </c>
      <c r="V273" s="121">
        <f>+Tabla1[[#This Row],[STOCK  FEBRERO 2021]]-Tabla1[[#This Row],[REQUISICIONES MARZO 2021]]+Tabla1[[#This Row],[ENTRADAS MARZO 2021]]</f>
        <v>20</v>
      </c>
      <c r="W273" s="121">
        <f>+Tabla1[[#This Row],[STOCK MARZO 2021]]-Tabla1[[#This Row],[REQUISICIONES ABRIL 2021]]+Tabla1[[#This Row],[ENTRADAS ABRIL 2021]]</f>
        <v>20</v>
      </c>
      <c r="X273" s="121">
        <f>+Tabla1[[#This Row],[STOCK ABRIL 2021]]-Tabla1[[#This Row],[REQUISICIONES MAYO 2021]]+Tabla1[[#This Row],[ENTRADAS MAYO 2021]]</f>
        <v>20</v>
      </c>
      <c r="Y273" s="121">
        <f>+Tabla1[[#This Row],[STOCK MAYO 2021]]-Tabla1[[#This Row],[REQUISICIONES JUNIO 2021]]+Tabla1[[#This Row],[ENTRADAS JUNIO 2021]]</f>
        <v>20</v>
      </c>
      <c r="Z273" s="40" t="s">
        <v>137</v>
      </c>
      <c r="AA273" s="122">
        <v>286</v>
      </c>
      <c r="AB273" s="93">
        <f t="shared" si="9"/>
        <v>337.48</v>
      </c>
      <c r="AC273" s="94">
        <f>Tabla1[[#This Row],[STOCK JUNIO ]]*Tabla1[[#This Row],[COSTO UNITARIO SIN ITBIS]]</f>
        <v>5720</v>
      </c>
    </row>
    <row r="274" spans="1:29" s="11" customFormat="1" x14ac:dyDescent="0.25">
      <c r="A274" s="261">
        <v>35</v>
      </c>
      <c r="B274" s="42">
        <v>44168</v>
      </c>
      <c r="C274" s="41" t="s">
        <v>11</v>
      </c>
      <c r="D274" s="42">
        <v>43633</v>
      </c>
      <c r="E274" s="139"/>
      <c r="F274" s="43">
        <v>1281</v>
      </c>
      <c r="G274" s="40" t="s">
        <v>182</v>
      </c>
      <c r="H274" s="65"/>
      <c r="I274" s="65"/>
      <c r="J274" s="65">
        <v>9</v>
      </c>
      <c r="K274" s="65"/>
      <c r="L274" s="65"/>
      <c r="M274" s="65"/>
      <c r="N274" s="65"/>
      <c r="O274" s="215"/>
      <c r="P274" s="65">
        <f>1+1+1+1</f>
        <v>4</v>
      </c>
      <c r="Q274" s="65">
        <f>2+1+1+1</f>
        <v>5</v>
      </c>
      <c r="R274" s="65"/>
      <c r="S274" s="65"/>
      <c r="T274" s="65"/>
      <c r="U274" s="65">
        <f>+Tabla1[[#This Row],[STOCK    FISICO ENERO 2021]]-Tabla1[[#This Row],[REQUISICIONES FEBRERO 2021]]</f>
        <v>5</v>
      </c>
      <c r="V274" s="65">
        <f>+Tabla1[[#This Row],[STOCK  FEBRERO 2021]]-Tabla1[[#This Row],[REQUISICIONES MARZO 2021]]+Tabla1[[#This Row],[ENTRADAS MARZO 2021]]</f>
        <v>0</v>
      </c>
      <c r="W274" s="65">
        <f>+Tabla1[[#This Row],[STOCK MARZO 2021]]-Tabla1[[#This Row],[REQUISICIONES ABRIL 2021]]+Tabla1[[#This Row],[ENTRADAS ABRIL 2021]]</f>
        <v>0</v>
      </c>
      <c r="X274" s="65">
        <f>+Tabla1[[#This Row],[STOCK ABRIL 2021]]-Tabla1[[#This Row],[REQUISICIONES MAYO 2021]]+Tabla1[[#This Row],[ENTRADAS MAYO 2021]]</f>
        <v>0</v>
      </c>
      <c r="Y274" s="65">
        <f>+Tabla1[[#This Row],[STOCK MAYO 2021]]-Tabla1[[#This Row],[REQUISICIONES JUNIO 2021]]+Tabla1[[#This Row],[ENTRADAS JUNIO 2021]]</f>
        <v>0</v>
      </c>
      <c r="Z274" s="40" t="s">
        <v>137</v>
      </c>
      <c r="AA274" s="45">
        <v>400</v>
      </c>
      <c r="AB274" s="35">
        <f t="shared" si="9"/>
        <v>472</v>
      </c>
      <c r="AC274" s="94">
        <f>Tabla1[[#This Row],[STOCK JUNIO ]]*Tabla1[[#This Row],[COSTO UNITARIO SIN ITBIS]]</f>
        <v>0</v>
      </c>
    </row>
    <row r="275" spans="1:29" s="8" customFormat="1" x14ac:dyDescent="0.25">
      <c r="A275" s="261">
        <v>36</v>
      </c>
      <c r="B275" s="42">
        <v>44110</v>
      </c>
      <c r="C275" s="34" t="s">
        <v>11</v>
      </c>
      <c r="D275" s="42"/>
      <c r="E275" s="139"/>
      <c r="F275" s="51">
        <v>1259</v>
      </c>
      <c r="G275" s="48" t="s">
        <v>628</v>
      </c>
      <c r="H275" s="66">
        <f>75+75</f>
        <v>150</v>
      </c>
      <c r="I275" s="66">
        <f>2+2+2</f>
        <v>6</v>
      </c>
      <c r="J275" s="66">
        <f>+'INVENTARIO ABRIL-JUNIO 2021'!$H275-'INVENTARIO ABRIL-JUNIO 2021'!$I275</f>
        <v>144</v>
      </c>
      <c r="K275" s="66"/>
      <c r="L275" s="66"/>
      <c r="M275" s="66"/>
      <c r="N275" s="66"/>
      <c r="O275" s="217"/>
      <c r="P275" s="66">
        <f>1+1+1+2+2+2+2+2+2+2+3+1+1+2+1+4</f>
        <v>29</v>
      </c>
      <c r="Q275" s="66">
        <f>2+2+3+2+2+2+2+1+1+2</f>
        <v>19</v>
      </c>
      <c r="R275" s="66">
        <f>2+2+2+1+2+1+2+2+2+3</f>
        <v>19</v>
      </c>
      <c r="S275" s="66">
        <f>2+2+2+1+1+2+1+2+2</f>
        <v>15</v>
      </c>
      <c r="T275" s="66">
        <f>2+2+2+2+5+2+2+1+2</f>
        <v>20</v>
      </c>
      <c r="U275" s="66">
        <f>+Tabla1[[#This Row],[STOCK    FISICO ENERO 2021]]-Tabla1[[#This Row],[REQUISICIONES FEBRERO 2021]]</f>
        <v>115</v>
      </c>
      <c r="V275" s="66">
        <f>+Tabla1[[#This Row],[STOCK  FEBRERO 2021]]-Tabla1[[#This Row],[REQUISICIONES MARZO 2021]]+Tabla1[[#This Row],[ENTRADAS MARZO 2021]]</f>
        <v>96</v>
      </c>
      <c r="W275" s="66">
        <f>+Tabla1[[#This Row],[STOCK MARZO 2021]]-Tabla1[[#This Row],[REQUISICIONES ABRIL 2021]]+Tabla1[[#This Row],[ENTRADAS ABRIL 2021]]</f>
        <v>77</v>
      </c>
      <c r="X275" s="66">
        <f>+Tabla1[[#This Row],[STOCK ABRIL 2021]]-Tabla1[[#This Row],[REQUISICIONES MAYO 2021]]+Tabla1[[#This Row],[ENTRADAS MAYO 2021]]</f>
        <v>62</v>
      </c>
      <c r="Y275" s="66">
        <f>+Tabla1[[#This Row],[STOCK MAYO 2021]]-Tabla1[[#This Row],[REQUISICIONES JUNIO 2021]]+Tabla1[[#This Row],[ENTRADAS JUNIO 2021]]</f>
        <v>42</v>
      </c>
      <c r="Z275" s="48" t="s">
        <v>170</v>
      </c>
      <c r="AA275" s="52">
        <v>129.80000000000001</v>
      </c>
      <c r="AB275" s="35">
        <f t="shared" si="9"/>
        <v>153.16400000000002</v>
      </c>
      <c r="AC275" s="94">
        <f>Tabla1[[#This Row],[STOCK JUNIO ]]*Tabla1[[#This Row],[COSTO UNITARIO SIN ITBIS]]</f>
        <v>5451.6</v>
      </c>
    </row>
    <row r="276" spans="1:29" s="8" customFormat="1" x14ac:dyDescent="0.25">
      <c r="A276" s="261">
        <v>37</v>
      </c>
      <c r="B276" s="117">
        <v>44323</v>
      </c>
      <c r="C276" s="34" t="s">
        <v>11</v>
      </c>
      <c r="D276" s="117">
        <v>44320</v>
      </c>
      <c r="E276" s="138" t="s">
        <v>851</v>
      </c>
      <c r="F276" s="197"/>
      <c r="G276" s="48" t="s">
        <v>852</v>
      </c>
      <c r="H276" s="120"/>
      <c r="I276" s="120"/>
      <c r="J276" s="120">
        <f>+'INVENTARIO ABRIL-JUNIO 2021'!$H276-'INVENTARIO ABRIL-JUNIO 2021'!$I276</f>
        <v>0</v>
      </c>
      <c r="K276" s="120"/>
      <c r="L276" s="120"/>
      <c r="M276" s="120"/>
      <c r="N276" s="126">
        <v>40</v>
      </c>
      <c r="O276" s="121"/>
      <c r="P276" s="120"/>
      <c r="Q276" s="120"/>
      <c r="R276" s="120"/>
      <c r="S276" s="120"/>
      <c r="T276" s="120">
        <f>1+2+2+2</f>
        <v>7</v>
      </c>
      <c r="U276" s="121">
        <f>+Tabla1[[#This Row],[STOCK    FISICO ENERO 2021]]-Tabla1[[#This Row],[REQUISICIONES FEBRERO 2021]]</f>
        <v>0</v>
      </c>
      <c r="V276" s="121">
        <f>+Tabla1[[#This Row],[STOCK  FEBRERO 2021]]-Tabla1[[#This Row],[REQUISICIONES MARZO 2021]]+Tabla1[[#This Row],[ENTRADAS MARZO 2021]]</f>
        <v>0</v>
      </c>
      <c r="W276" s="217">
        <f>+Tabla1[[#This Row],[STOCK MARZO 2021]]-Tabla1[[#This Row],[REQUISICIONES ABRIL 2021]]+Tabla1[[#This Row],[ENTRADAS ABRIL 2021]]</f>
        <v>0</v>
      </c>
      <c r="X276" s="217">
        <f>+Tabla1[[#This Row],[STOCK ABRIL 2021]]-Tabla1[[#This Row],[REQUISICIONES MAYO 2021]]+Tabla1[[#This Row],[ENTRADAS MAYO 2021]]</f>
        <v>40</v>
      </c>
      <c r="Y276" s="217">
        <f>+Tabla1[[#This Row],[STOCK MAYO 2021]]-Tabla1[[#This Row],[REQUISICIONES JUNIO 2021]]+Tabla1[[#This Row],[ENTRADAS JUNIO 2021]]</f>
        <v>33</v>
      </c>
      <c r="Z276" s="48" t="s">
        <v>170</v>
      </c>
      <c r="AA276" s="122">
        <v>91.53</v>
      </c>
      <c r="AB276" s="35">
        <f t="shared" si="9"/>
        <v>108.00540000000001</v>
      </c>
      <c r="AC276" s="94">
        <f>Tabla1[[#This Row],[STOCK JUNIO ]]*Tabla1[[#This Row],[COSTO UNITARIO SIN ITBIS]]</f>
        <v>3020.4900000000002</v>
      </c>
    </row>
    <row r="277" spans="1:29" s="8" customFormat="1" x14ac:dyDescent="0.25">
      <c r="A277" s="261">
        <v>38</v>
      </c>
      <c r="B277" s="42">
        <v>43636</v>
      </c>
      <c r="C277" s="41" t="s">
        <v>11</v>
      </c>
      <c r="D277" s="42">
        <v>43633</v>
      </c>
      <c r="E277" s="139"/>
      <c r="F277" s="43"/>
      <c r="G277" s="40" t="s">
        <v>183</v>
      </c>
      <c r="H277" s="67">
        <v>155</v>
      </c>
      <c r="I277" s="67"/>
      <c r="J277" s="67">
        <f>+'INVENTARIO ABRIL-JUNIO 2021'!$H277-'INVENTARIO ABRIL-JUNIO 2021'!$I277</f>
        <v>155</v>
      </c>
      <c r="K277" s="67"/>
      <c r="L277" s="67"/>
      <c r="M277" s="67"/>
      <c r="N277" s="67"/>
      <c r="O277" s="199"/>
      <c r="P277" s="67"/>
      <c r="Q277" s="67"/>
      <c r="R277" s="67"/>
      <c r="S277" s="67"/>
      <c r="T277" s="67"/>
      <c r="U277" s="67">
        <f>+Tabla1[[#This Row],[STOCK    FISICO ENERO 2021]]-Tabla1[[#This Row],[REQUISICIONES FEBRERO 2021]]</f>
        <v>155</v>
      </c>
      <c r="V277" s="67">
        <f>+Tabla1[[#This Row],[STOCK  FEBRERO 2021]]-Tabla1[[#This Row],[REQUISICIONES MARZO 2021]]+Tabla1[[#This Row],[ENTRADAS MARZO 2021]]</f>
        <v>155</v>
      </c>
      <c r="W277" s="67">
        <f>+Tabla1[[#This Row],[STOCK MARZO 2021]]-Tabla1[[#This Row],[REQUISICIONES ABRIL 2021]]+Tabla1[[#This Row],[ENTRADAS ABRIL 2021]]</f>
        <v>155</v>
      </c>
      <c r="X277" s="67">
        <f>+Tabla1[[#This Row],[STOCK ABRIL 2021]]-Tabla1[[#This Row],[REQUISICIONES MAYO 2021]]+Tabla1[[#This Row],[ENTRADAS MAYO 2021]]</f>
        <v>155</v>
      </c>
      <c r="Y277" s="67">
        <f>+Tabla1[[#This Row],[STOCK MAYO 2021]]-Tabla1[[#This Row],[REQUISICIONES JUNIO 2021]]+Tabla1[[#This Row],[ENTRADAS JUNIO 2021]]</f>
        <v>155</v>
      </c>
      <c r="Z277" s="40" t="s">
        <v>201</v>
      </c>
      <c r="AA277" s="41">
        <v>71.69</v>
      </c>
      <c r="AB277" s="35">
        <f t="shared" si="9"/>
        <v>84.594200000000001</v>
      </c>
      <c r="AC277" s="94">
        <f>Tabla1[[#This Row],[STOCK JUNIO ]]*Tabla1[[#This Row],[COSTO UNITARIO SIN ITBIS]]</f>
        <v>11111.949999999999</v>
      </c>
    </row>
    <row r="278" spans="1:29" s="8" customFormat="1" x14ac:dyDescent="0.25">
      <c r="A278" s="261">
        <v>39</v>
      </c>
      <c r="B278" s="42">
        <v>44168</v>
      </c>
      <c r="C278" s="41" t="s">
        <v>11</v>
      </c>
      <c r="D278" s="42">
        <v>43633</v>
      </c>
      <c r="E278" s="139"/>
      <c r="F278" s="43">
        <v>1095</v>
      </c>
      <c r="G278" s="40" t="s">
        <v>185</v>
      </c>
      <c r="H278" s="65">
        <f>104+17+35</f>
        <v>156</v>
      </c>
      <c r="I278" s="65"/>
      <c r="J278" s="65">
        <f>+'INVENTARIO ABRIL-JUNIO 2021'!$H278-'INVENTARIO ABRIL-JUNIO 2021'!$I278</f>
        <v>156</v>
      </c>
      <c r="K278" s="65"/>
      <c r="L278" s="65"/>
      <c r="M278" s="65"/>
      <c r="N278" s="65"/>
      <c r="O278" s="215"/>
      <c r="P278" s="65">
        <f>6+10+4</f>
        <v>20</v>
      </c>
      <c r="Q278" s="65">
        <f>2+3</f>
        <v>5</v>
      </c>
      <c r="R278" s="65">
        <f>3+6+3</f>
        <v>12</v>
      </c>
      <c r="S278" s="65">
        <v>6</v>
      </c>
      <c r="T278" s="65">
        <f>6+6+6</f>
        <v>18</v>
      </c>
      <c r="U278" s="65">
        <f>+Tabla1[[#This Row],[STOCK    FISICO ENERO 2021]]-Tabla1[[#This Row],[REQUISICIONES FEBRERO 2021]]</f>
        <v>136</v>
      </c>
      <c r="V278" s="65">
        <f>+Tabla1[[#This Row],[STOCK  FEBRERO 2021]]-Tabla1[[#This Row],[REQUISICIONES MARZO 2021]]+Tabla1[[#This Row],[ENTRADAS MARZO 2021]]</f>
        <v>131</v>
      </c>
      <c r="W278" s="65">
        <f>+Tabla1[[#This Row],[STOCK MARZO 2021]]-Tabla1[[#This Row],[REQUISICIONES ABRIL 2021]]+Tabla1[[#This Row],[ENTRADAS ABRIL 2021]]</f>
        <v>119</v>
      </c>
      <c r="X278" s="65">
        <f>+Tabla1[[#This Row],[STOCK ABRIL 2021]]-Tabla1[[#This Row],[REQUISICIONES MAYO 2021]]+Tabla1[[#This Row],[ENTRADAS MAYO 2021]]</f>
        <v>113</v>
      </c>
      <c r="Y278" s="65">
        <f>+Tabla1[[#This Row],[STOCK MAYO 2021]]-Tabla1[[#This Row],[REQUISICIONES JUNIO 2021]]+Tabla1[[#This Row],[ENTRADAS JUNIO 2021]]</f>
        <v>95</v>
      </c>
      <c r="Z278" s="40" t="s">
        <v>184</v>
      </c>
      <c r="AA278" s="45">
        <v>41.3</v>
      </c>
      <c r="AB278" s="35">
        <f t="shared" si="9"/>
        <v>48.733999999999995</v>
      </c>
      <c r="AC278" s="94">
        <f>Tabla1[[#This Row],[STOCK JUNIO ]]*Tabla1[[#This Row],[COSTO UNITARIO SIN ITBIS]]</f>
        <v>3923.4999999999995</v>
      </c>
    </row>
    <row r="279" spans="1:29" s="8" customFormat="1" x14ac:dyDescent="0.25">
      <c r="A279" s="261">
        <v>40</v>
      </c>
      <c r="B279" s="42">
        <v>44168</v>
      </c>
      <c r="C279" s="41" t="s">
        <v>11</v>
      </c>
      <c r="D279" s="42">
        <v>44110</v>
      </c>
      <c r="E279" s="139"/>
      <c r="F279" s="43" t="s">
        <v>20</v>
      </c>
      <c r="G279" s="40" t="s">
        <v>186</v>
      </c>
      <c r="H279" s="65">
        <v>29</v>
      </c>
      <c r="I279" s="65"/>
      <c r="J279" s="65">
        <f>+'INVENTARIO ABRIL-JUNIO 2021'!$H279-'INVENTARIO ABRIL-JUNIO 2021'!$I279</f>
        <v>29</v>
      </c>
      <c r="K279" s="65"/>
      <c r="L279" s="65"/>
      <c r="M279" s="65"/>
      <c r="N279" s="65"/>
      <c r="O279" s="215"/>
      <c r="P279" s="65"/>
      <c r="Q279" s="65"/>
      <c r="R279" s="65"/>
      <c r="S279" s="65"/>
      <c r="T279" s="65"/>
      <c r="U279" s="65">
        <f>+Tabla1[[#This Row],[STOCK    FISICO ENERO 2021]]-Tabla1[[#This Row],[REQUISICIONES FEBRERO 2021]]</f>
        <v>29</v>
      </c>
      <c r="V279" s="65">
        <f>+Tabla1[[#This Row],[STOCK  FEBRERO 2021]]-Tabla1[[#This Row],[REQUISICIONES MARZO 2021]]+Tabla1[[#This Row],[ENTRADAS MARZO 2021]]</f>
        <v>29</v>
      </c>
      <c r="W279" s="65">
        <f>+Tabla1[[#This Row],[STOCK MARZO 2021]]-Tabla1[[#This Row],[REQUISICIONES ABRIL 2021]]+Tabla1[[#This Row],[ENTRADAS ABRIL 2021]]</f>
        <v>29</v>
      </c>
      <c r="X279" s="65">
        <f>+Tabla1[[#This Row],[STOCK ABRIL 2021]]-Tabla1[[#This Row],[REQUISICIONES MAYO 2021]]+Tabla1[[#This Row],[ENTRADAS MAYO 2021]]</f>
        <v>29</v>
      </c>
      <c r="Y279" s="65">
        <f>+Tabla1[[#This Row],[STOCK MAYO 2021]]-Tabla1[[#This Row],[REQUISICIONES JUNIO 2021]]+Tabla1[[#This Row],[ENTRADAS JUNIO 2021]]</f>
        <v>29</v>
      </c>
      <c r="Z279" s="40" t="s">
        <v>12</v>
      </c>
      <c r="AA279" s="45">
        <v>94.4</v>
      </c>
      <c r="AB279" s="35">
        <f t="shared" si="9"/>
        <v>111.39200000000001</v>
      </c>
      <c r="AC279" s="94">
        <f>Tabla1[[#This Row],[STOCK JUNIO ]]*Tabla1[[#This Row],[COSTO UNITARIO SIN ITBIS]]</f>
        <v>2737.6000000000004</v>
      </c>
    </row>
    <row r="280" spans="1:29" s="8" customFormat="1" x14ac:dyDescent="0.25">
      <c r="A280" s="261">
        <v>41</v>
      </c>
      <c r="B280" s="42">
        <v>43397</v>
      </c>
      <c r="C280" s="34" t="s">
        <v>11</v>
      </c>
      <c r="D280" s="42">
        <v>43397</v>
      </c>
      <c r="E280" s="139"/>
      <c r="F280" s="51">
        <v>1097</v>
      </c>
      <c r="G280" s="48" t="s">
        <v>187</v>
      </c>
      <c r="H280" s="66">
        <v>13</v>
      </c>
      <c r="I280" s="66"/>
      <c r="J280" s="66">
        <f>+'INVENTARIO ABRIL-JUNIO 2021'!$H280-'INVENTARIO ABRIL-JUNIO 2021'!$I280</f>
        <v>13</v>
      </c>
      <c r="K280" s="66"/>
      <c r="L280" s="66"/>
      <c r="M280" s="66"/>
      <c r="N280" s="66"/>
      <c r="O280" s="217"/>
      <c r="P280" s="66">
        <v>1</v>
      </c>
      <c r="Q280" s="66"/>
      <c r="R280" s="66"/>
      <c r="S280" s="66"/>
      <c r="T280" s="66"/>
      <c r="U280" s="66">
        <f>+Tabla1[[#This Row],[STOCK    FISICO ENERO 2021]]-Tabla1[[#This Row],[REQUISICIONES FEBRERO 2021]]</f>
        <v>12</v>
      </c>
      <c r="V280" s="66">
        <f>+Tabla1[[#This Row],[STOCK  FEBRERO 2021]]-Tabla1[[#This Row],[REQUISICIONES MARZO 2021]]+Tabla1[[#This Row],[ENTRADAS MARZO 2021]]</f>
        <v>12</v>
      </c>
      <c r="W280" s="66">
        <f>+Tabla1[[#This Row],[STOCK MARZO 2021]]-Tabla1[[#This Row],[REQUISICIONES ABRIL 2021]]+Tabla1[[#This Row],[ENTRADAS ABRIL 2021]]</f>
        <v>12</v>
      </c>
      <c r="X280" s="66">
        <f>+Tabla1[[#This Row],[STOCK ABRIL 2021]]-Tabla1[[#This Row],[REQUISICIONES MAYO 2021]]+Tabla1[[#This Row],[ENTRADAS MAYO 2021]]</f>
        <v>12</v>
      </c>
      <c r="Y280" s="66">
        <f>+Tabla1[[#This Row],[STOCK MAYO 2021]]-Tabla1[[#This Row],[REQUISICIONES JUNIO 2021]]+Tabla1[[#This Row],[ENTRADAS JUNIO 2021]]</f>
        <v>12</v>
      </c>
      <c r="Z280" s="48" t="s">
        <v>165</v>
      </c>
      <c r="AA280" s="52">
        <v>218</v>
      </c>
      <c r="AB280" s="39">
        <f t="shared" si="9"/>
        <v>257.24</v>
      </c>
      <c r="AC280" s="94">
        <f>Tabla1[[#This Row],[STOCK JUNIO ]]*Tabla1[[#This Row],[COSTO UNITARIO SIN ITBIS]]</f>
        <v>2616</v>
      </c>
    </row>
    <row r="281" spans="1:29" s="8" customFormat="1" x14ac:dyDescent="0.25">
      <c r="A281" s="261">
        <v>42</v>
      </c>
      <c r="B281" s="42">
        <v>44167</v>
      </c>
      <c r="C281" s="41" t="s">
        <v>11</v>
      </c>
      <c r="D281" s="42">
        <v>44159</v>
      </c>
      <c r="E281" s="139"/>
      <c r="F281" s="43" t="s">
        <v>20</v>
      </c>
      <c r="G281" s="40" t="s">
        <v>188</v>
      </c>
      <c r="H281" s="65">
        <v>111</v>
      </c>
      <c r="I281" s="65">
        <f>3+1</f>
        <v>4</v>
      </c>
      <c r="J281" s="65">
        <f>+'INVENTARIO ABRIL-JUNIO 2021'!$H281-'INVENTARIO ABRIL-JUNIO 2021'!$I281</f>
        <v>107</v>
      </c>
      <c r="K281" s="65"/>
      <c r="L281" s="65"/>
      <c r="M281" s="65"/>
      <c r="N281" s="65"/>
      <c r="O281" s="215"/>
      <c r="P281" s="65">
        <f>1+2+1+2+2+1+2+2+2</f>
        <v>15</v>
      </c>
      <c r="Q281" s="65">
        <f>2+2+1+2+1+1+1+2+2</f>
        <v>14</v>
      </c>
      <c r="R281" s="65">
        <f>1+2+2+1+2+1+2+2</f>
        <v>13</v>
      </c>
      <c r="S281" s="65">
        <f>2+2+2+2+2+2+1+2+1</f>
        <v>16</v>
      </c>
      <c r="T281" s="65">
        <f>2+2+5+2+1+1+2+2+2+1+2+2</f>
        <v>24</v>
      </c>
      <c r="U281" s="65">
        <f>+Tabla1[[#This Row],[STOCK    FISICO ENERO 2021]]-Tabla1[[#This Row],[REQUISICIONES FEBRERO 2021]]</f>
        <v>92</v>
      </c>
      <c r="V281" s="65">
        <f>+Tabla1[[#This Row],[STOCK  FEBRERO 2021]]-Tabla1[[#This Row],[REQUISICIONES MARZO 2021]]+Tabla1[[#This Row],[ENTRADAS MARZO 2021]]</f>
        <v>78</v>
      </c>
      <c r="W281" s="65">
        <f>+Tabla1[[#This Row],[STOCK MARZO 2021]]-Tabla1[[#This Row],[REQUISICIONES ABRIL 2021]]+Tabla1[[#This Row],[ENTRADAS ABRIL 2021]]</f>
        <v>65</v>
      </c>
      <c r="X281" s="65">
        <f>+Tabla1[[#This Row],[STOCK ABRIL 2021]]-Tabla1[[#This Row],[REQUISICIONES MAYO 2021]]+Tabla1[[#This Row],[ENTRADAS MAYO 2021]]</f>
        <v>49</v>
      </c>
      <c r="Y281" s="65">
        <f>+Tabla1[[#This Row],[STOCK MAYO 2021]]-Tabla1[[#This Row],[REQUISICIONES JUNIO 2021]]+Tabla1[[#This Row],[ENTRADAS JUNIO 2021]]</f>
        <v>25</v>
      </c>
      <c r="Z281" s="40" t="s">
        <v>170</v>
      </c>
      <c r="AA281" s="45">
        <v>102.66</v>
      </c>
      <c r="AB281" s="39">
        <f t="shared" si="9"/>
        <v>121.1388</v>
      </c>
      <c r="AC281" s="94">
        <f>Tabla1[[#This Row],[STOCK JUNIO ]]*Tabla1[[#This Row],[COSTO UNITARIO SIN ITBIS]]</f>
        <v>2566.5</v>
      </c>
    </row>
    <row r="282" spans="1:29" s="8" customFormat="1" x14ac:dyDescent="0.25">
      <c r="A282" s="261">
        <v>43</v>
      </c>
      <c r="B282" s="117">
        <v>44323</v>
      </c>
      <c r="C282" s="41" t="s">
        <v>11</v>
      </c>
      <c r="D282" s="117">
        <v>44322</v>
      </c>
      <c r="E282" s="138" t="s">
        <v>854</v>
      </c>
      <c r="F282" s="197"/>
      <c r="G282" s="40" t="s">
        <v>865</v>
      </c>
      <c r="H282" s="120"/>
      <c r="I282" s="120"/>
      <c r="J282" s="120">
        <f>+'INVENTARIO ABRIL-JUNIO 2021'!$H282-'INVENTARIO ABRIL-JUNIO 2021'!$I282</f>
        <v>0</v>
      </c>
      <c r="K282" s="120"/>
      <c r="L282" s="120"/>
      <c r="M282" s="120"/>
      <c r="N282" s="126">
        <v>12</v>
      </c>
      <c r="O282" s="121"/>
      <c r="P282" s="120"/>
      <c r="Q282" s="120"/>
      <c r="R282" s="120"/>
      <c r="S282" s="120"/>
      <c r="T282" s="120"/>
      <c r="U282" s="121">
        <f>+Tabla1[[#This Row],[STOCK    FISICO ENERO 2021]]-Tabla1[[#This Row],[REQUISICIONES FEBRERO 2021]]</f>
        <v>0</v>
      </c>
      <c r="V282" s="121">
        <f>+Tabla1[[#This Row],[STOCK  FEBRERO 2021]]-Tabla1[[#This Row],[REQUISICIONES MARZO 2021]]+Tabla1[[#This Row],[ENTRADAS MARZO 2021]]</f>
        <v>0</v>
      </c>
      <c r="W282" s="215">
        <f>+Tabla1[[#This Row],[STOCK MARZO 2021]]-Tabla1[[#This Row],[REQUISICIONES ABRIL 2021]]+Tabla1[[#This Row],[ENTRADAS ABRIL 2021]]</f>
        <v>0</v>
      </c>
      <c r="X282" s="215">
        <f>+Tabla1[[#This Row],[STOCK ABRIL 2021]]-Tabla1[[#This Row],[REQUISICIONES MAYO 2021]]+Tabla1[[#This Row],[ENTRADAS MAYO 2021]]</f>
        <v>12</v>
      </c>
      <c r="Y282" s="215">
        <f>+Tabla1[[#This Row],[STOCK MAYO 2021]]-Tabla1[[#This Row],[REQUISICIONES JUNIO 2021]]+Tabla1[[#This Row],[ENTRADAS JUNIO 2021]]</f>
        <v>12</v>
      </c>
      <c r="Z282" s="40" t="s">
        <v>170</v>
      </c>
      <c r="AA282" s="122">
        <v>127</v>
      </c>
      <c r="AB282" s="39">
        <f t="shared" si="9"/>
        <v>149.86000000000001</v>
      </c>
      <c r="AC282" s="94">
        <f>Tabla1[[#This Row],[STOCK JUNIO ]]*Tabla1[[#This Row],[COSTO UNITARIO SIN ITBIS]]</f>
        <v>1524</v>
      </c>
    </row>
    <row r="283" spans="1:29" s="12" customFormat="1" ht="18" customHeight="1" x14ac:dyDescent="0.25">
      <c r="A283" s="261">
        <v>44</v>
      </c>
      <c r="B283" s="42">
        <v>43556</v>
      </c>
      <c r="C283" s="41" t="s">
        <v>11</v>
      </c>
      <c r="D283" s="42">
        <v>43556</v>
      </c>
      <c r="E283" s="138"/>
      <c r="F283" s="43">
        <v>1101</v>
      </c>
      <c r="G283" s="40" t="s">
        <v>849</v>
      </c>
      <c r="H283" s="65">
        <v>39</v>
      </c>
      <c r="I283" s="65">
        <f>2+1+1</f>
        <v>4</v>
      </c>
      <c r="J283" s="65">
        <f>+'INVENTARIO ABRIL-JUNIO 2021'!$H283-'INVENTARIO ABRIL-JUNIO 2021'!$I283</f>
        <v>35</v>
      </c>
      <c r="K283" s="65"/>
      <c r="L283" s="65"/>
      <c r="M283" s="65"/>
      <c r="N283" s="65"/>
      <c r="O283" s="215"/>
      <c r="P283" s="65">
        <f>1+1+1+1+1</f>
        <v>5</v>
      </c>
      <c r="Q283" s="65">
        <f>1+1</f>
        <v>2</v>
      </c>
      <c r="R283" s="65">
        <f>1+1+1</f>
        <v>3</v>
      </c>
      <c r="S283" s="65">
        <f>1+1+1+1+1</f>
        <v>5</v>
      </c>
      <c r="T283" s="65">
        <f>1+1+2+1+3+1+1+2+1+1+1+1+1+1+1+1</f>
        <v>20</v>
      </c>
      <c r="U283" s="65">
        <f>+Tabla1[[#This Row],[STOCK    FISICO ENERO 2021]]-Tabla1[[#This Row],[REQUISICIONES FEBRERO 2021]]</f>
        <v>30</v>
      </c>
      <c r="V283" s="65">
        <f>+Tabla1[[#This Row],[STOCK  FEBRERO 2021]]-Tabla1[[#This Row],[REQUISICIONES MARZO 2021]]+Tabla1[[#This Row],[ENTRADAS MARZO 2021]]</f>
        <v>28</v>
      </c>
      <c r="W283" s="65">
        <f>+Tabla1[[#This Row],[STOCK MARZO 2021]]-Tabla1[[#This Row],[REQUISICIONES ABRIL 2021]]+Tabla1[[#This Row],[ENTRADAS ABRIL 2021]]</f>
        <v>25</v>
      </c>
      <c r="X283" s="65">
        <f>+Tabla1[[#This Row],[STOCK ABRIL 2021]]-Tabla1[[#This Row],[REQUISICIONES MAYO 2021]]+Tabla1[[#This Row],[ENTRADAS MAYO 2021]]</f>
        <v>20</v>
      </c>
      <c r="Y283" s="65">
        <f>+Tabla1[[#This Row],[STOCK MAYO 2021]]-Tabla1[[#This Row],[REQUISICIONES JUNIO 2021]]+Tabla1[[#This Row],[ENTRADAS JUNIO 2021]]</f>
        <v>0</v>
      </c>
      <c r="Z283" s="40" t="s">
        <v>170</v>
      </c>
      <c r="AA283" s="45">
        <v>259.60000000000002</v>
      </c>
      <c r="AB283" s="35">
        <f t="shared" si="9"/>
        <v>306.32800000000003</v>
      </c>
      <c r="AC283" s="94">
        <f>Tabla1[[#This Row],[STOCK JUNIO ]]*Tabla1[[#This Row],[COSTO UNITARIO SIN ITBIS]]</f>
        <v>0</v>
      </c>
    </row>
    <row r="284" spans="1:29" s="12" customFormat="1" ht="18" customHeight="1" x14ac:dyDescent="0.25">
      <c r="A284" s="261">
        <v>45</v>
      </c>
      <c r="B284" s="117">
        <v>44323</v>
      </c>
      <c r="C284" s="41" t="s">
        <v>11</v>
      </c>
      <c r="D284" s="117">
        <v>44320</v>
      </c>
      <c r="E284" s="138" t="s">
        <v>848</v>
      </c>
      <c r="F284" s="197"/>
      <c r="G284" s="40" t="s">
        <v>850</v>
      </c>
      <c r="H284" s="120"/>
      <c r="I284" s="120"/>
      <c r="J284" s="120">
        <f>+'INVENTARIO ABRIL-JUNIO 2021'!$H284-'INVENTARIO ABRIL-JUNIO 2021'!$I284</f>
        <v>0</v>
      </c>
      <c r="K284" s="120"/>
      <c r="L284" s="120"/>
      <c r="M284" s="120"/>
      <c r="N284" s="126">
        <v>20</v>
      </c>
      <c r="O284" s="121"/>
      <c r="P284" s="120"/>
      <c r="Q284" s="120"/>
      <c r="R284" s="120"/>
      <c r="S284" s="120"/>
      <c r="T284" s="120"/>
      <c r="U284" s="121">
        <f>+Tabla1[[#This Row],[STOCK    FISICO ENERO 2021]]-Tabla1[[#This Row],[REQUISICIONES FEBRERO 2021]]</f>
        <v>0</v>
      </c>
      <c r="V284" s="121">
        <f>+Tabla1[[#This Row],[STOCK  FEBRERO 2021]]-Tabla1[[#This Row],[REQUISICIONES MARZO 2021]]+Tabla1[[#This Row],[ENTRADAS MARZO 2021]]</f>
        <v>0</v>
      </c>
      <c r="W284" s="215">
        <f>+Tabla1[[#This Row],[STOCK MARZO 2021]]-Tabla1[[#This Row],[REQUISICIONES ABRIL 2021]]+Tabla1[[#This Row],[ENTRADAS ABRIL 2021]]</f>
        <v>0</v>
      </c>
      <c r="X284" s="215">
        <f>+Tabla1[[#This Row],[STOCK ABRIL 2021]]-Tabla1[[#This Row],[REQUISICIONES MAYO 2021]]+Tabla1[[#This Row],[ENTRADAS MAYO 2021]]</f>
        <v>20</v>
      </c>
      <c r="Y284" s="215">
        <f>+Tabla1[[#This Row],[STOCK MAYO 2021]]-Tabla1[[#This Row],[REQUISICIONES JUNIO 2021]]+Tabla1[[#This Row],[ENTRADAS JUNIO 2021]]</f>
        <v>20</v>
      </c>
      <c r="Z284" s="40" t="s">
        <v>170</v>
      </c>
      <c r="AA284" s="122">
        <v>115</v>
      </c>
      <c r="AB284" s="35">
        <f t="shared" si="9"/>
        <v>135.69999999999999</v>
      </c>
      <c r="AC284" s="94">
        <f>Tabla1[[#This Row],[STOCK JUNIO ]]*Tabla1[[#This Row],[COSTO UNITARIO SIN ITBIS]]</f>
        <v>2300</v>
      </c>
    </row>
    <row r="285" spans="1:29" s="11" customFormat="1" x14ac:dyDescent="0.25">
      <c r="A285" s="261">
        <v>46</v>
      </c>
      <c r="B285" s="42">
        <v>43636</v>
      </c>
      <c r="C285" s="41" t="s">
        <v>11</v>
      </c>
      <c r="D285" s="42">
        <v>43620</v>
      </c>
      <c r="E285" s="139"/>
      <c r="F285" s="43">
        <v>1260</v>
      </c>
      <c r="G285" s="40" t="s">
        <v>189</v>
      </c>
      <c r="H285" s="65">
        <v>1</v>
      </c>
      <c r="I285" s="65"/>
      <c r="J285" s="65">
        <f>+'INVENTARIO ABRIL-JUNIO 2021'!$H285-'INVENTARIO ABRIL-JUNIO 2021'!$I285</f>
        <v>1</v>
      </c>
      <c r="K285" s="65"/>
      <c r="L285" s="65"/>
      <c r="M285" s="65"/>
      <c r="N285" s="65"/>
      <c r="O285" s="215"/>
      <c r="P285" s="65">
        <v>1</v>
      </c>
      <c r="Q285" s="65"/>
      <c r="R285" s="65"/>
      <c r="S285" s="65"/>
      <c r="T285" s="65"/>
      <c r="U285" s="65">
        <f>+Tabla1[[#This Row],[STOCK    FISICO ENERO 2021]]-Tabla1[[#This Row],[REQUISICIONES FEBRERO 2021]]</f>
        <v>0</v>
      </c>
      <c r="V285" s="65">
        <f>+Tabla1[[#This Row],[STOCK  FEBRERO 2021]]-Tabla1[[#This Row],[REQUISICIONES MARZO 2021]]+Tabla1[[#This Row],[ENTRADAS MARZO 2021]]</f>
        <v>0</v>
      </c>
      <c r="W285" s="65">
        <f>+Tabla1[[#This Row],[STOCK MARZO 2021]]-Tabla1[[#This Row],[REQUISICIONES ABRIL 2021]]+Tabla1[[#This Row],[ENTRADAS ABRIL 2021]]</f>
        <v>0</v>
      </c>
      <c r="X285" s="65">
        <f>+Tabla1[[#This Row],[STOCK ABRIL 2021]]-Tabla1[[#This Row],[REQUISICIONES MAYO 2021]]+Tabla1[[#This Row],[ENTRADAS MAYO 2021]]</f>
        <v>0</v>
      </c>
      <c r="Y285" s="65">
        <f>+Tabla1[[#This Row],[STOCK MAYO 2021]]-Tabla1[[#This Row],[REQUISICIONES JUNIO 2021]]+Tabla1[[#This Row],[ENTRADAS JUNIO 2021]]</f>
        <v>0</v>
      </c>
      <c r="Z285" s="40" t="s">
        <v>170</v>
      </c>
      <c r="AA285" s="45">
        <v>265.5</v>
      </c>
      <c r="AB285" s="35">
        <f t="shared" si="9"/>
        <v>313.29000000000002</v>
      </c>
      <c r="AC285" s="94">
        <f>Tabla1[[#This Row],[STOCK JUNIO ]]*Tabla1[[#This Row],[COSTO UNITARIO SIN ITBIS]]</f>
        <v>0</v>
      </c>
    </row>
    <row r="286" spans="1:29" s="8" customFormat="1" x14ac:dyDescent="0.25">
      <c r="A286" s="261">
        <v>47</v>
      </c>
      <c r="B286" s="42">
        <v>44167</v>
      </c>
      <c r="C286" s="41" t="s">
        <v>11</v>
      </c>
      <c r="D286" s="42">
        <v>44162</v>
      </c>
      <c r="E286" s="139"/>
      <c r="F286" s="43" t="s">
        <v>20</v>
      </c>
      <c r="G286" s="40" t="s">
        <v>190</v>
      </c>
      <c r="H286" s="65">
        <v>3</v>
      </c>
      <c r="I286" s="65"/>
      <c r="J286" s="65">
        <f>+'INVENTARIO ABRIL-JUNIO 2021'!$H286-'INVENTARIO ABRIL-JUNIO 2021'!$I286</f>
        <v>3</v>
      </c>
      <c r="K286" s="65"/>
      <c r="L286" s="65"/>
      <c r="M286" s="65"/>
      <c r="N286" s="65"/>
      <c r="O286" s="215"/>
      <c r="P286" s="65"/>
      <c r="Q286" s="65"/>
      <c r="R286" s="65"/>
      <c r="S286" s="65">
        <v>1</v>
      </c>
      <c r="T286" s="65"/>
      <c r="U286" s="65">
        <f>+Tabla1[[#This Row],[STOCK    FISICO ENERO 2021]]-Tabla1[[#This Row],[REQUISICIONES FEBRERO 2021]]</f>
        <v>3</v>
      </c>
      <c r="V286" s="65">
        <f>+Tabla1[[#This Row],[STOCK  FEBRERO 2021]]-Tabla1[[#This Row],[REQUISICIONES MARZO 2021]]+Tabla1[[#This Row],[ENTRADAS MARZO 2021]]</f>
        <v>3</v>
      </c>
      <c r="W286" s="65">
        <f>+Tabla1[[#This Row],[STOCK MARZO 2021]]-Tabla1[[#This Row],[REQUISICIONES ABRIL 2021]]+Tabla1[[#This Row],[ENTRADAS ABRIL 2021]]</f>
        <v>3</v>
      </c>
      <c r="X286" s="65">
        <f>+Tabla1[[#This Row],[STOCK ABRIL 2021]]-Tabla1[[#This Row],[REQUISICIONES MAYO 2021]]+Tabla1[[#This Row],[ENTRADAS MAYO 2021]]</f>
        <v>2</v>
      </c>
      <c r="Y286" s="65">
        <f>+Tabla1[[#This Row],[STOCK MAYO 2021]]-Tabla1[[#This Row],[REQUISICIONES JUNIO 2021]]+Tabla1[[#This Row],[ENTRADAS JUNIO 2021]]</f>
        <v>2</v>
      </c>
      <c r="Z286" s="40" t="s">
        <v>191</v>
      </c>
      <c r="AA286" s="45">
        <v>1171.26</v>
      </c>
      <c r="AB286" s="35">
        <f t="shared" si="9"/>
        <v>1382.0868</v>
      </c>
      <c r="AC286" s="94">
        <f>Tabla1[[#This Row],[STOCK JUNIO ]]*Tabla1[[#This Row],[COSTO UNITARIO SIN ITBIS]]</f>
        <v>2342.52</v>
      </c>
    </row>
    <row r="287" spans="1:29" s="8" customFormat="1" x14ac:dyDescent="0.25">
      <c r="A287" s="261">
        <v>48</v>
      </c>
      <c r="B287" s="42">
        <v>44110</v>
      </c>
      <c r="C287" s="41" t="s">
        <v>11</v>
      </c>
      <c r="D287" s="42">
        <v>44110</v>
      </c>
      <c r="E287" s="139"/>
      <c r="F287" s="43" t="s">
        <v>20</v>
      </c>
      <c r="G287" s="40" t="s">
        <v>192</v>
      </c>
      <c r="H287" s="65">
        <v>14</v>
      </c>
      <c r="I287" s="65"/>
      <c r="J287" s="65">
        <f>+'INVENTARIO ABRIL-JUNIO 2021'!$H287-'INVENTARIO ABRIL-JUNIO 2021'!$I287</f>
        <v>14</v>
      </c>
      <c r="K287" s="65"/>
      <c r="L287" s="65"/>
      <c r="M287" s="65"/>
      <c r="N287" s="65"/>
      <c r="O287" s="215"/>
      <c r="P287" s="65"/>
      <c r="Q287" s="65"/>
      <c r="R287" s="65"/>
      <c r="S287" s="65"/>
      <c r="T287" s="65"/>
      <c r="U287" s="65">
        <f>+Tabla1[[#This Row],[STOCK    FISICO ENERO 2021]]-Tabla1[[#This Row],[REQUISICIONES FEBRERO 2021]]</f>
        <v>14</v>
      </c>
      <c r="V287" s="65">
        <f>+Tabla1[[#This Row],[STOCK  FEBRERO 2021]]-Tabla1[[#This Row],[REQUISICIONES MARZO 2021]]+Tabla1[[#This Row],[ENTRADAS MARZO 2021]]</f>
        <v>14</v>
      </c>
      <c r="W287" s="65">
        <f>+Tabla1[[#This Row],[STOCK MARZO 2021]]-Tabla1[[#This Row],[REQUISICIONES ABRIL 2021]]+Tabla1[[#This Row],[ENTRADAS ABRIL 2021]]</f>
        <v>14</v>
      </c>
      <c r="X287" s="65">
        <f>+Tabla1[[#This Row],[STOCK ABRIL 2021]]-Tabla1[[#This Row],[REQUISICIONES MAYO 2021]]+Tabla1[[#This Row],[ENTRADAS MAYO 2021]]</f>
        <v>14</v>
      </c>
      <c r="Y287" s="65">
        <f>+Tabla1[[#This Row],[STOCK MAYO 2021]]-Tabla1[[#This Row],[REQUISICIONES JUNIO 2021]]+Tabla1[[#This Row],[ENTRADAS JUNIO 2021]]</f>
        <v>14</v>
      </c>
      <c r="Z287" s="40" t="s">
        <v>170</v>
      </c>
      <c r="AA287" s="45">
        <v>0</v>
      </c>
      <c r="AB287" s="35">
        <f t="shared" si="9"/>
        <v>0</v>
      </c>
      <c r="AC287" s="94">
        <f>Tabla1[[#This Row],[STOCK JUNIO ]]*Tabla1[[#This Row],[COSTO UNITARIO SIN ITBIS]]</f>
        <v>0</v>
      </c>
    </row>
    <row r="288" spans="1:29" s="8" customFormat="1" x14ac:dyDescent="0.25">
      <c r="A288" s="261">
        <v>49</v>
      </c>
      <c r="B288" s="42">
        <v>44167</v>
      </c>
      <c r="C288" s="34" t="s">
        <v>11</v>
      </c>
      <c r="D288" s="42">
        <v>44159</v>
      </c>
      <c r="E288" s="139"/>
      <c r="F288" s="51">
        <v>1130</v>
      </c>
      <c r="G288" s="48" t="s">
        <v>845</v>
      </c>
      <c r="H288" s="66">
        <v>29</v>
      </c>
      <c r="I288" s="66">
        <f>1+1</f>
        <v>2</v>
      </c>
      <c r="J288" s="66">
        <f>+'INVENTARIO ABRIL-JUNIO 2021'!$H288-'INVENTARIO ABRIL-JUNIO 2021'!$I288</f>
        <v>27</v>
      </c>
      <c r="K288" s="66"/>
      <c r="L288" s="66"/>
      <c r="M288" s="66"/>
      <c r="N288" s="66"/>
      <c r="O288" s="217"/>
      <c r="P288" s="66">
        <f>1+1+1+2+1+1+2+1+1+1+1</f>
        <v>13</v>
      </c>
      <c r="Q288" s="66">
        <f>2+1</f>
        <v>3</v>
      </c>
      <c r="R288" s="66">
        <f>2+1+2</f>
        <v>5</v>
      </c>
      <c r="S288" s="66">
        <f>2+2+2</f>
        <v>6</v>
      </c>
      <c r="T288" s="66"/>
      <c r="U288" s="66">
        <f>+Tabla1[[#This Row],[STOCK    FISICO ENERO 2021]]-Tabla1[[#This Row],[REQUISICIONES FEBRERO 2021]]</f>
        <v>14</v>
      </c>
      <c r="V288" s="66">
        <f>+Tabla1[[#This Row],[STOCK  FEBRERO 2021]]-Tabla1[[#This Row],[REQUISICIONES MARZO 2021]]+Tabla1[[#This Row],[ENTRADAS MARZO 2021]]</f>
        <v>11</v>
      </c>
      <c r="W288" s="66">
        <f>+Tabla1[[#This Row],[STOCK MARZO 2021]]-Tabla1[[#This Row],[REQUISICIONES ABRIL 2021]]+Tabla1[[#This Row],[ENTRADAS ABRIL 2021]]</f>
        <v>6</v>
      </c>
      <c r="X288" s="66">
        <f>+Tabla1[[#This Row],[STOCK ABRIL 2021]]-Tabla1[[#This Row],[REQUISICIONES MAYO 2021]]+Tabla1[[#This Row],[ENTRADAS MAYO 2021]]</f>
        <v>0</v>
      </c>
      <c r="Y288" s="66">
        <f>+Tabla1[[#This Row],[STOCK MAYO 2021]]-Tabla1[[#This Row],[REQUISICIONES JUNIO 2021]]+Tabla1[[#This Row],[ENTRADAS JUNIO 2021]]</f>
        <v>0</v>
      </c>
      <c r="Z288" s="48" t="s">
        <v>170</v>
      </c>
      <c r="AA288" s="52">
        <v>590</v>
      </c>
      <c r="AB288" s="35">
        <f t="shared" si="9"/>
        <v>696.2</v>
      </c>
      <c r="AC288" s="94">
        <f>Tabla1[[#This Row],[STOCK JUNIO ]]*Tabla1[[#This Row],[COSTO UNITARIO SIN ITBIS]]</f>
        <v>0</v>
      </c>
    </row>
    <row r="289" spans="1:29" s="8" customFormat="1" x14ac:dyDescent="0.25">
      <c r="A289" s="261">
        <v>50</v>
      </c>
      <c r="B289" s="117">
        <v>44323</v>
      </c>
      <c r="C289" s="34" t="s">
        <v>11</v>
      </c>
      <c r="D289" s="117">
        <v>44320</v>
      </c>
      <c r="E289" s="138" t="s">
        <v>848</v>
      </c>
      <c r="F289" s="197"/>
      <c r="G289" s="48" t="s">
        <v>846</v>
      </c>
      <c r="H289" s="120"/>
      <c r="I289" s="120"/>
      <c r="J289" s="120"/>
      <c r="K289" s="120"/>
      <c r="L289" s="120"/>
      <c r="M289" s="120"/>
      <c r="N289" s="126">
        <v>70</v>
      </c>
      <c r="O289" s="121"/>
      <c r="P289" s="120"/>
      <c r="Q289" s="120"/>
      <c r="R289" s="120"/>
      <c r="S289" s="120">
        <v>1</v>
      </c>
      <c r="T289" s="120">
        <f>3+1+1+1+2+1+1</f>
        <v>10</v>
      </c>
      <c r="U289" s="121"/>
      <c r="V289" s="121"/>
      <c r="W289" s="217"/>
      <c r="X289" s="66">
        <f>+Tabla1[[#This Row],[STOCK ABRIL 2021]]-Tabla1[[#This Row],[REQUISICIONES MAYO 2021]]+Tabla1[[#This Row],[ENTRADAS MAYO 2021]]</f>
        <v>69</v>
      </c>
      <c r="Y289" s="66">
        <f>+Tabla1[[#This Row],[STOCK MAYO 2021]]-Tabla1[[#This Row],[REQUISICIONES JUNIO 2021]]+Tabla1[[#This Row],[ENTRADAS JUNIO 2021]]</f>
        <v>59</v>
      </c>
      <c r="Z289" s="48" t="s">
        <v>170</v>
      </c>
      <c r="AA289" s="122">
        <v>400</v>
      </c>
      <c r="AB289" s="35">
        <f t="shared" si="9"/>
        <v>472</v>
      </c>
      <c r="AC289" s="94">
        <f>Tabla1[[#This Row],[STOCK JUNIO ]]*Tabla1[[#This Row],[COSTO UNITARIO SIN ITBIS]]</f>
        <v>23600</v>
      </c>
    </row>
    <row r="290" spans="1:29" s="8" customFormat="1" x14ac:dyDescent="0.25">
      <c r="A290" s="261">
        <v>51</v>
      </c>
      <c r="B290" s="117">
        <v>44286</v>
      </c>
      <c r="C290" s="34" t="s">
        <v>11</v>
      </c>
      <c r="D290" s="117">
        <v>44286</v>
      </c>
      <c r="E290" s="138" t="s">
        <v>755</v>
      </c>
      <c r="F290" s="118"/>
      <c r="G290" s="119" t="s">
        <v>762</v>
      </c>
      <c r="H290" s="120"/>
      <c r="I290" s="120"/>
      <c r="J290" s="120">
        <f>+'INVENTARIO ABRIL-JUNIO 2021'!$H290-'INVENTARIO ABRIL-JUNIO 2021'!$I290</f>
        <v>0</v>
      </c>
      <c r="K290" s="120"/>
      <c r="L290" s="120">
        <f>6*50</f>
        <v>300</v>
      </c>
      <c r="M290" s="120"/>
      <c r="N290" s="120"/>
      <c r="O290" s="121"/>
      <c r="P290" s="120"/>
      <c r="Q290" s="120"/>
      <c r="R290" s="120"/>
      <c r="S290" s="120"/>
      <c r="T290" s="120">
        <f>50+50</f>
        <v>100</v>
      </c>
      <c r="U290" s="121">
        <f>+Tabla1[[#This Row],[STOCK    FISICO ENERO 2021]]-Tabla1[[#This Row],[REQUISICIONES FEBRERO 2021]]</f>
        <v>0</v>
      </c>
      <c r="V290" s="121">
        <f>+Tabla1[[#This Row],[STOCK  FEBRERO 2021]]-Tabla1[[#This Row],[REQUISICIONES MARZO 2021]]+Tabla1[[#This Row],[ENTRADAS MARZO 2021]]</f>
        <v>300</v>
      </c>
      <c r="W290" s="121">
        <f>+Tabla1[[#This Row],[STOCK MARZO 2021]]-Tabla1[[#This Row],[REQUISICIONES ABRIL 2021]]+Tabla1[[#This Row],[ENTRADAS ABRIL 2021]]</f>
        <v>300</v>
      </c>
      <c r="X290" s="121">
        <f>+Tabla1[[#This Row],[STOCK ABRIL 2021]]-Tabla1[[#This Row],[REQUISICIONES MAYO 2021]]+Tabla1[[#This Row],[ENTRADAS MAYO 2021]]</f>
        <v>300</v>
      </c>
      <c r="Y290" s="121">
        <f>+Tabla1[[#This Row],[STOCK MAYO 2021]]-Tabla1[[#This Row],[REQUISICIONES JUNIO 2021]]+Tabla1[[#This Row],[ENTRADAS JUNIO 2021]]</f>
        <v>200</v>
      </c>
      <c r="Z290" s="40" t="s">
        <v>12</v>
      </c>
      <c r="AA290" s="122">
        <v>6</v>
      </c>
      <c r="AB290" s="93" t="s">
        <v>747</v>
      </c>
      <c r="AC290" s="94">
        <f>Tabla1[[#This Row],[STOCK JUNIO ]]*Tabla1[[#This Row],[COSTO UNITARIO SIN ITBIS]]</f>
        <v>1200</v>
      </c>
    </row>
    <row r="291" spans="1:29" s="8" customFormat="1" x14ac:dyDescent="0.25">
      <c r="A291" s="261">
        <v>52</v>
      </c>
      <c r="B291" s="42">
        <v>43509</v>
      </c>
      <c r="C291" s="41" t="s">
        <v>11</v>
      </c>
      <c r="D291" s="42">
        <v>43509</v>
      </c>
      <c r="E291" s="139"/>
      <c r="F291" s="43">
        <v>1145</v>
      </c>
      <c r="G291" s="40" t="s">
        <v>840</v>
      </c>
      <c r="H291" s="65">
        <v>44</v>
      </c>
      <c r="I291" s="65"/>
      <c r="J291" s="65">
        <f>+'INVENTARIO ABRIL-JUNIO 2021'!$H291-'INVENTARIO ABRIL-JUNIO 2021'!$I291</f>
        <v>44</v>
      </c>
      <c r="K291" s="65"/>
      <c r="L291" s="65"/>
      <c r="M291" s="65"/>
      <c r="N291" s="65"/>
      <c r="O291" s="215"/>
      <c r="P291" s="65">
        <v>1</v>
      </c>
      <c r="Q291" s="65"/>
      <c r="R291" s="65">
        <f>1+1</f>
        <v>2</v>
      </c>
      <c r="S291" s="65">
        <v>3</v>
      </c>
      <c r="T291" s="65"/>
      <c r="U291" s="65">
        <f>+Tabla1[[#This Row],[STOCK    FISICO ENERO 2021]]-Tabla1[[#This Row],[REQUISICIONES FEBRERO 2021]]</f>
        <v>43</v>
      </c>
      <c r="V291" s="65">
        <f>+Tabla1[[#This Row],[STOCK  FEBRERO 2021]]-Tabla1[[#This Row],[REQUISICIONES MARZO 2021]]+Tabla1[[#This Row],[ENTRADAS MARZO 2021]]</f>
        <v>43</v>
      </c>
      <c r="W291" s="65">
        <f>+Tabla1[[#This Row],[STOCK MARZO 2021]]-Tabla1[[#This Row],[REQUISICIONES ABRIL 2021]]+Tabla1[[#This Row],[ENTRADAS ABRIL 2021]]</f>
        <v>41</v>
      </c>
      <c r="X291" s="65">
        <f>+Tabla1[[#This Row],[STOCK ABRIL 2021]]-Tabla1[[#This Row],[REQUISICIONES MAYO 2021]]+Tabla1[[#This Row],[ENTRADAS MAYO 2021]]</f>
        <v>38</v>
      </c>
      <c r="Y291" s="65">
        <f>+Tabla1[[#This Row],[STOCK MAYO 2021]]-Tabla1[[#This Row],[REQUISICIONES JUNIO 2021]]+Tabla1[[#This Row],[ENTRADAS JUNIO 2021]]</f>
        <v>38</v>
      </c>
      <c r="Z291" s="40" t="s">
        <v>12</v>
      </c>
      <c r="AA291" s="45">
        <v>135</v>
      </c>
      <c r="AB291" s="35">
        <f t="shared" si="9"/>
        <v>159.30000000000001</v>
      </c>
      <c r="AC291" s="94">
        <f>Tabla1[[#This Row],[STOCK JUNIO ]]*Tabla1[[#This Row],[COSTO UNITARIO SIN ITBIS]]</f>
        <v>5130</v>
      </c>
    </row>
    <row r="292" spans="1:29" s="12" customFormat="1" x14ac:dyDescent="0.25">
      <c r="A292" s="261">
        <v>53</v>
      </c>
      <c r="B292" s="42">
        <v>43080</v>
      </c>
      <c r="C292" s="41" t="s">
        <v>11</v>
      </c>
      <c r="D292" s="42">
        <v>43080</v>
      </c>
      <c r="E292" s="139"/>
      <c r="F292" s="43">
        <v>1144</v>
      </c>
      <c r="G292" s="40" t="s">
        <v>856</v>
      </c>
      <c r="H292" s="65">
        <v>193</v>
      </c>
      <c r="I292" s="65"/>
      <c r="J292" s="65">
        <f>+'INVENTARIO ABRIL-JUNIO 2021'!$H292-'INVENTARIO ABRIL-JUNIO 2021'!$I292</f>
        <v>193</v>
      </c>
      <c r="K292" s="65"/>
      <c r="L292" s="65"/>
      <c r="M292" s="65"/>
      <c r="N292" s="65"/>
      <c r="O292" s="215"/>
      <c r="P292" s="65">
        <v>1</v>
      </c>
      <c r="Q292" s="65"/>
      <c r="R292" s="65"/>
      <c r="S292" s="65"/>
      <c r="T292" s="65">
        <v>5</v>
      </c>
      <c r="U292" s="65">
        <f>+Tabla1[[#This Row],[STOCK    FISICO ENERO 2021]]-Tabla1[[#This Row],[REQUISICIONES FEBRERO 2021]]</f>
        <v>192</v>
      </c>
      <c r="V292" s="65">
        <f>+Tabla1[[#This Row],[STOCK  FEBRERO 2021]]-Tabla1[[#This Row],[REQUISICIONES MARZO 2021]]+Tabla1[[#This Row],[ENTRADAS MARZO 2021]]</f>
        <v>192</v>
      </c>
      <c r="W292" s="65">
        <f>+Tabla1[[#This Row],[STOCK MARZO 2021]]-Tabla1[[#This Row],[REQUISICIONES ABRIL 2021]]+Tabla1[[#This Row],[ENTRADAS ABRIL 2021]]</f>
        <v>192</v>
      </c>
      <c r="X292" s="65">
        <f>+Tabla1[[#This Row],[STOCK ABRIL 2021]]-Tabla1[[#This Row],[REQUISICIONES MAYO 2021]]+Tabla1[[#This Row],[ENTRADAS MAYO 2021]]</f>
        <v>192</v>
      </c>
      <c r="Y292" s="65">
        <f>+Tabla1[[#This Row],[STOCK MAYO 2021]]-Tabla1[[#This Row],[REQUISICIONES JUNIO 2021]]+Tabla1[[#This Row],[ENTRADAS JUNIO 2021]]</f>
        <v>187</v>
      </c>
      <c r="Z292" s="40" t="s">
        <v>12</v>
      </c>
      <c r="AA292" s="45">
        <v>0</v>
      </c>
      <c r="AB292" s="35">
        <f t="shared" si="9"/>
        <v>0</v>
      </c>
      <c r="AC292" s="94">
        <f>Tabla1[[#This Row],[STOCK JUNIO ]]*Tabla1[[#This Row],[COSTO UNITARIO SIN ITBIS]]</f>
        <v>0</v>
      </c>
    </row>
    <row r="293" spans="1:29" s="8" customFormat="1" x14ac:dyDescent="0.25">
      <c r="A293" s="261">
        <v>54</v>
      </c>
      <c r="B293" s="42">
        <v>43636</v>
      </c>
      <c r="C293" s="41" t="s">
        <v>11</v>
      </c>
      <c r="D293" s="42">
        <v>43633</v>
      </c>
      <c r="E293" s="139"/>
      <c r="F293" s="43">
        <v>1466</v>
      </c>
      <c r="G293" s="40" t="s">
        <v>194</v>
      </c>
      <c r="H293" s="65">
        <v>80</v>
      </c>
      <c r="I293" s="65"/>
      <c r="J293" s="65">
        <f>+'INVENTARIO ABRIL-JUNIO 2021'!$H293-'INVENTARIO ABRIL-JUNIO 2021'!$I293</f>
        <v>80</v>
      </c>
      <c r="K293" s="65"/>
      <c r="L293" s="65"/>
      <c r="M293" s="65"/>
      <c r="N293" s="65"/>
      <c r="O293" s="215"/>
      <c r="P293" s="65"/>
      <c r="Q293" s="65"/>
      <c r="R293" s="65"/>
      <c r="S293" s="65">
        <v>24</v>
      </c>
      <c r="T293" s="65"/>
      <c r="U293" s="65">
        <f>+Tabla1[[#This Row],[STOCK    FISICO ENERO 2021]]-Tabla1[[#This Row],[REQUISICIONES FEBRERO 2021]]</f>
        <v>80</v>
      </c>
      <c r="V293" s="65">
        <f>+Tabla1[[#This Row],[STOCK  FEBRERO 2021]]-Tabla1[[#This Row],[REQUISICIONES MARZO 2021]]+Tabla1[[#This Row],[ENTRADAS MARZO 2021]]</f>
        <v>80</v>
      </c>
      <c r="W293" s="65">
        <f>+Tabla1[[#This Row],[STOCK MARZO 2021]]-Tabla1[[#This Row],[REQUISICIONES ABRIL 2021]]+Tabla1[[#This Row],[ENTRADAS ABRIL 2021]]</f>
        <v>80</v>
      </c>
      <c r="X293" s="65">
        <f>+Tabla1[[#This Row],[STOCK ABRIL 2021]]-Tabla1[[#This Row],[REQUISICIONES MAYO 2021]]+Tabla1[[#This Row],[ENTRADAS MAYO 2021]]</f>
        <v>56</v>
      </c>
      <c r="Y293" s="65">
        <f>+Tabla1[[#This Row],[STOCK MAYO 2021]]-Tabla1[[#This Row],[REQUISICIONES JUNIO 2021]]+Tabla1[[#This Row],[ENTRADAS JUNIO 2021]]</f>
        <v>56</v>
      </c>
      <c r="Z293" s="40" t="s">
        <v>48</v>
      </c>
      <c r="AA293" s="45">
        <v>23.333333333333332</v>
      </c>
      <c r="AB293" s="35">
        <f t="shared" si="9"/>
        <v>27.533333333333331</v>
      </c>
      <c r="AC293" s="94">
        <f>Tabla1[[#This Row],[STOCK JUNIO ]]*Tabla1[[#This Row],[COSTO UNITARIO SIN ITBIS]]</f>
        <v>1306.6666666666665</v>
      </c>
    </row>
    <row r="294" spans="1:29" s="8" customFormat="1" x14ac:dyDescent="0.25">
      <c r="A294" s="261">
        <v>55</v>
      </c>
      <c r="B294" s="42">
        <v>43636</v>
      </c>
      <c r="C294" s="34" t="s">
        <v>11</v>
      </c>
      <c r="D294" s="42">
        <v>43633</v>
      </c>
      <c r="E294" s="139"/>
      <c r="F294" s="51">
        <v>1269</v>
      </c>
      <c r="G294" s="48" t="s">
        <v>195</v>
      </c>
      <c r="H294" s="66">
        <f>50+1368</f>
        <v>1418</v>
      </c>
      <c r="I294" s="66">
        <f>12+24</f>
        <v>36</v>
      </c>
      <c r="J294" s="66">
        <f>+'INVENTARIO ABRIL-JUNIO 2021'!$H294-'INVENTARIO ABRIL-JUNIO 2021'!$I294</f>
        <v>1382</v>
      </c>
      <c r="K294" s="66"/>
      <c r="L294" s="66"/>
      <c r="M294" s="66"/>
      <c r="N294" s="66"/>
      <c r="O294" s="217"/>
      <c r="P294" s="66">
        <f>5+5+5+24+6+12+24+2+6+6+24+12+24</f>
        <v>155</v>
      </c>
      <c r="Q294" s="66">
        <f>24+24+12+24+24+12+12+12+24+24</f>
        <v>192</v>
      </c>
      <c r="R294" s="66">
        <f>36+36+5+36+12+36+24+5+12+12</f>
        <v>214</v>
      </c>
      <c r="S294" s="66">
        <f>36+12+48+12+24+12+24+36+12</f>
        <v>216</v>
      </c>
      <c r="T294" s="66">
        <f>24+30+24+24+24+5+24+24+8+12</f>
        <v>199</v>
      </c>
      <c r="U294" s="66">
        <f>+Tabla1[[#This Row],[STOCK    FISICO ENERO 2021]]-Tabla1[[#This Row],[REQUISICIONES FEBRERO 2021]]</f>
        <v>1227</v>
      </c>
      <c r="V294" s="66">
        <f>+Tabla1[[#This Row],[STOCK  FEBRERO 2021]]-Tabla1[[#This Row],[REQUISICIONES MARZO 2021]]+Tabla1[[#This Row],[ENTRADAS MARZO 2021]]</f>
        <v>1035</v>
      </c>
      <c r="W294" s="66">
        <f>+Tabla1[[#This Row],[STOCK MARZO 2021]]-Tabla1[[#This Row],[REQUISICIONES ABRIL 2021]]+Tabla1[[#This Row],[ENTRADAS ABRIL 2021]]</f>
        <v>821</v>
      </c>
      <c r="X294" s="66">
        <f>+Tabla1[[#This Row],[STOCK ABRIL 2021]]-Tabla1[[#This Row],[REQUISICIONES MAYO 2021]]+Tabla1[[#This Row],[ENTRADAS MAYO 2021]]</f>
        <v>605</v>
      </c>
      <c r="Y294" s="66">
        <f>+Tabla1[[#This Row],[STOCK MAYO 2021]]-Tabla1[[#This Row],[REQUISICIONES JUNIO 2021]]+Tabla1[[#This Row],[ENTRADAS JUNIO 2021]]</f>
        <v>406</v>
      </c>
      <c r="Z294" s="48" t="s">
        <v>196</v>
      </c>
      <c r="AA294" s="52">
        <v>83.583333333333329</v>
      </c>
      <c r="AB294" s="35">
        <f t="shared" si="9"/>
        <v>98.62833333333333</v>
      </c>
      <c r="AC294" s="94">
        <f>Tabla1[[#This Row],[STOCK JUNIO ]]*Tabla1[[#This Row],[COSTO UNITARIO SIN ITBIS]]</f>
        <v>33934.833333333328</v>
      </c>
    </row>
    <row r="295" spans="1:29" s="11" customFormat="1" x14ac:dyDescent="0.25">
      <c r="A295" s="261">
        <v>56</v>
      </c>
      <c r="B295" s="42">
        <v>44175</v>
      </c>
      <c r="C295" s="34" t="s">
        <v>11</v>
      </c>
      <c r="D295" s="42">
        <v>43633</v>
      </c>
      <c r="E295" s="139"/>
      <c r="F295" s="51">
        <v>1270</v>
      </c>
      <c r="G295" s="48" t="s">
        <v>624</v>
      </c>
      <c r="H295" s="66">
        <v>1874</v>
      </c>
      <c r="I295" s="66">
        <f>6+1+2+42+12+2</f>
        <v>65</v>
      </c>
      <c r="J295" s="66">
        <f>+'INVENTARIO ABRIL-JUNIO 2021'!$H295-'INVENTARIO ABRIL-JUNIO 2021'!$I295</f>
        <v>1809</v>
      </c>
      <c r="K295" s="66"/>
      <c r="L295" s="66"/>
      <c r="M295" s="66"/>
      <c r="N295" s="66"/>
      <c r="O295" s="217"/>
      <c r="P295" s="66">
        <f>12+1+12+12+1+6+1+12+6+12</f>
        <v>75</v>
      </c>
      <c r="Q295" s="66">
        <f>1+12+6+12+12+1+12+12+12+12+6+12+6+12+18+24</f>
        <v>170</v>
      </c>
      <c r="R295" s="66">
        <f>24+18+1+12+24+30+1+24+12+48+2+24+12+6+1</f>
        <v>239</v>
      </c>
      <c r="S295" s="66">
        <f>24+12+6+1+6+1+48+4+1+12+24+6+2+1+1</f>
        <v>149</v>
      </c>
      <c r="T295" s="66">
        <f>12+12+28+18+6+2+12+12+18+18+12+24+12</f>
        <v>186</v>
      </c>
      <c r="U295" s="66">
        <f>+Tabla1[[#This Row],[STOCK    FISICO ENERO 2021]]-Tabla1[[#This Row],[REQUISICIONES FEBRERO 2021]]</f>
        <v>1734</v>
      </c>
      <c r="V295" s="66">
        <f>+Tabla1[[#This Row],[STOCK  FEBRERO 2021]]-Tabla1[[#This Row],[REQUISICIONES MARZO 2021]]+Tabla1[[#This Row],[ENTRADAS MARZO 2021]]</f>
        <v>1564</v>
      </c>
      <c r="W295" s="66">
        <f>+Tabla1[[#This Row],[STOCK MARZO 2021]]-Tabla1[[#This Row],[REQUISICIONES ABRIL 2021]]+Tabla1[[#This Row],[ENTRADAS ABRIL 2021]]</f>
        <v>1325</v>
      </c>
      <c r="X295" s="66">
        <f>+Tabla1[[#This Row],[STOCK ABRIL 2021]]-Tabla1[[#This Row],[REQUISICIONES MAYO 2021]]+Tabla1[[#This Row],[ENTRADAS MAYO 2021]]</f>
        <v>1176</v>
      </c>
      <c r="Y295" s="66">
        <f>+Tabla1[[#This Row],[STOCK MAYO 2021]]-Tabla1[[#This Row],[REQUISICIONES JUNIO 2021]]+Tabla1[[#This Row],[ENTRADAS JUNIO 2021]]</f>
        <v>990</v>
      </c>
      <c r="Z295" s="48" t="s">
        <v>196</v>
      </c>
      <c r="AA295" s="52">
        <v>107.66666666666667</v>
      </c>
      <c r="AB295" s="35">
        <f t="shared" si="9"/>
        <v>127.04666666666667</v>
      </c>
      <c r="AC295" s="94">
        <f>Tabla1[[#This Row],[STOCK JUNIO ]]*Tabla1[[#This Row],[COSTO UNITARIO SIN ITBIS]]</f>
        <v>106590</v>
      </c>
    </row>
    <row r="296" spans="1:29" s="8" customFormat="1" x14ac:dyDescent="0.25">
      <c r="A296" s="261">
        <v>57</v>
      </c>
      <c r="B296" s="31">
        <v>44281</v>
      </c>
      <c r="C296" s="34" t="s">
        <v>11</v>
      </c>
      <c r="D296" s="31">
        <v>44267</v>
      </c>
      <c r="E296" s="137" t="s">
        <v>734</v>
      </c>
      <c r="F296" s="28"/>
      <c r="G296" s="48" t="s">
        <v>732</v>
      </c>
      <c r="H296" s="63"/>
      <c r="I296" s="63"/>
      <c r="J296" s="120">
        <f>+'INVENTARIO ABRIL-JUNIO 2021'!$H296-'INVENTARIO ABRIL-JUNIO 2021'!$I296</f>
        <v>0</v>
      </c>
      <c r="K296" s="63"/>
      <c r="L296" s="63">
        <f>300*12</f>
        <v>3600</v>
      </c>
      <c r="M296" s="63"/>
      <c r="N296" s="63"/>
      <c r="O296" s="125"/>
      <c r="P296" s="63"/>
      <c r="Q296" s="63"/>
      <c r="R296" s="63"/>
      <c r="S296" s="63"/>
      <c r="T296" s="63"/>
      <c r="U296" s="125">
        <f>+Tabla1[[#This Row],[STOCK    FISICO ENERO 2021]]-Tabla1[[#This Row],[REQUISICIONES FEBRERO 2021]]</f>
        <v>0</v>
      </c>
      <c r="V296" s="125">
        <f>+Tabla1[[#This Row],[STOCK  FEBRERO 2021]]-Tabla1[[#This Row],[REQUISICIONES MARZO 2021]]+Tabla1[[#This Row],[ENTRADAS MARZO 2021]]</f>
        <v>3600</v>
      </c>
      <c r="W296" s="125">
        <f>+Tabla1[[#This Row],[STOCK MARZO 2021]]-Tabla1[[#This Row],[REQUISICIONES ABRIL 2021]]+Tabla1[[#This Row],[ENTRADAS ABRIL 2021]]</f>
        <v>3600</v>
      </c>
      <c r="X296" s="125">
        <f>+Tabla1[[#This Row],[STOCK ABRIL 2021]]-Tabla1[[#This Row],[REQUISICIONES MAYO 2021]]+Tabla1[[#This Row],[ENTRADAS MAYO 2021]]</f>
        <v>3600</v>
      </c>
      <c r="Y296" s="125">
        <f>+Tabla1[[#This Row],[STOCK MAYO 2021]]-Tabla1[[#This Row],[REQUISICIONES JUNIO 2021]]+Tabla1[[#This Row],[ENTRADAS JUNIO 2021]]</f>
        <v>3600</v>
      </c>
      <c r="Z296" s="48" t="s">
        <v>196</v>
      </c>
      <c r="AA296" s="34">
        <v>82.5</v>
      </c>
      <c r="AB296" s="93">
        <f t="shared" si="9"/>
        <v>97.35</v>
      </c>
      <c r="AC296" s="94">
        <f>Tabla1[[#This Row],[STOCK JUNIO ]]*Tabla1[[#This Row],[COSTO UNITARIO SIN ITBIS]]</f>
        <v>297000</v>
      </c>
    </row>
    <row r="297" spans="1:29" s="8" customFormat="1" x14ac:dyDescent="0.25">
      <c r="A297" s="261">
        <v>58</v>
      </c>
      <c r="B297" s="31">
        <v>44281</v>
      </c>
      <c r="C297" s="34" t="s">
        <v>11</v>
      </c>
      <c r="D297" s="31">
        <v>44267</v>
      </c>
      <c r="E297" s="137" t="s">
        <v>734</v>
      </c>
      <c r="F297" s="28"/>
      <c r="G297" s="48" t="s">
        <v>733</v>
      </c>
      <c r="H297" s="63"/>
      <c r="I297" s="63"/>
      <c r="J297" s="120">
        <f>+'INVENTARIO ABRIL-JUNIO 2021'!$H297-'INVENTARIO ABRIL-JUNIO 2021'!$I297</f>
        <v>0</v>
      </c>
      <c r="K297" s="63"/>
      <c r="L297" s="63">
        <f>125*6</f>
        <v>750</v>
      </c>
      <c r="M297" s="63"/>
      <c r="N297" s="63"/>
      <c r="O297" s="125"/>
      <c r="P297" s="63"/>
      <c r="Q297" s="63"/>
      <c r="R297" s="63"/>
      <c r="S297" s="63"/>
      <c r="T297" s="63"/>
      <c r="U297" s="125">
        <f>+Tabla1[[#This Row],[STOCK    FISICO ENERO 2021]]-Tabla1[[#This Row],[REQUISICIONES FEBRERO 2021]]</f>
        <v>0</v>
      </c>
      <c r="V297" s="125">
        <f>+Tabla1[[#This Row],[STOCK  FEBRERO 2021]]-Tabla1[[#This Row],[REQUISICIONES MARZO 2021]]+Tabla1[[#This Row],[ENTRADAS MARZO 2021]]</f>
        <v>750</v>
      </c>
      <c r="W297" s="125">
        <f>+Tabla1[[#This Row],[STOCK MARZO 2021]]-Tabla1[[#This Row],[REQUISICIONES ABRIL 2021]]+Tabla1[[#This Row],[ENTRADAS ABRIL 2021]]</f>
        <v>750</v>
      </c>
      <c r="X297" s="125">
        <f>+Tabla1[[#This Row],[STOCK ABRIL 2021]]-Tabla1[[#This Row],[REQUISICIONES MAYO 2021]]+Tabla1[[#This Row],[ENTRADAS MAYO 2021]]</f>
        <v>750</v>
      </c>
      <c r="Y297" s="125">
        <f>+Tabla1[[#This Row],[STOCK MAYO 2021]]-Tabla1[[#This Row],[REQUISICIONES JUNIO 2021]]+Tabla1[[#This Row],[ENTRADAS JUNIO 2021]]</f>
        <v>750</v>
      </c>
      <c r="Z297" s="48" t="s">
        <v>196</v>
      </c>
      <c r="AA297" s="34">
        <v>136.66666666666666</v>
      </c>
      <c r="AB297" s="93">
        <f t="shared" si="9"/>
        <v>161.26666666666665</v>
      </c>
      <c r="AC297" s="94">
        <f>Tabla1[[#This Row],[STOCK JUNIO ]]*Tabla1[[#This Row],[COSTO UNITARIO SIN ITBIS]]</f>
        <v>102500</v>
      </c>
    </row>
    <row r="298" spans="1:29" s="8" customFormat="1" x14ac:dyDescent="0.25">
      <c r="A298" s="261">
        <v>59</v>
      </c>
      <c r="B298" s="117">
        <v>44323</v>
      </c>
      <c r="C298" s="34" t="s">
        <v>11</v>
      </c>
      <c r="D298" s="117">
        <v>44322</v>
      </c>
      <c r="E298" s="138" t="s">
        <v>854</v>
      </c>
      <c r="F298" s="197"/>
      <c r="G298" s="119" t="s">
        <v>861</v>
      </c>
      <c r="H298" s="120"/>
      <c r="I298" s="120"/>
      <c r="J298" s="120">
        <f>+'INVENTARIO ABRIL-JUNIO 2021'!$H298-'INVENTARIO ABRIL-JUNIO 2021'!$I298</f>
        <v>0</v>
      </c>
      <c r="K298" s="120"/>
      <c r="L298" s="120"/>
      <c r="M298" s="120"/>
      <c r="N298" s="126">
        <v>200</v>
      </c>
      <c r="O298" s="121"/>
      <c r="P298" s="120"/>
      <c r="Q298" s="120"/>
      <c r="R298" s="120"/>
      <c r="S298" s="120">
        <f>12+6+6+4+12</f>
        <v>40</v>
      </c>
      <c r="T298" s="120">
        <f>6+5+3</f>
        <v>14</v>
      </c>
      <c r="U298" s="121">
        <f>+Tabla1[[#This Row],[STOCK    FISICO ENERO 2021]]-Tabla1[[#This Row],[REQUISICIONES FEBRERO 2021]]</f>
        <v>0</v>
      </c>
      <c r="V298" s="121">
        <f>+Tabla1[[#This Row],[STOCK  FEBRERO 2021]]-Tabla1[[#This Row],[REQUISICIONES MARZO 2021]]+Tabla1[[#This Row],[ENTRADAS MARZO 2021]]</f>
        <v>0</v>
      </c>
      <c r="W298" s="125">
        <f>+Tabla1[[#This Row],[STOCK MARZO 2021]]-Tabla1[[#This Row],[REQUISICIONES ABRIL 2021]]+Tabla1[[#This Row],[ENTRADAS ABRIL 2021]]</f>
        <v>0</v>
      </c>
      <c r="X298" s="125">
        <f>+Tabla1[[#This Row],[STOCK ABRIL 2021]]-Tabla1[[#This Row],[REQUISICIONES MAYO 2021]]+Tabla1[[#This Row],[ENTRADAS MAYO 2021]]</f>
        <v>160</v>
      </c>
      <c r="Y298" s="125">
        <f>+Tabla1[[#This Row],[STOCK MAYO 2021]]-Tabla1[[#This Row],[REQUISICIONES JUNIO 2021]]+Tabla1[[#This Row],[ENTRADAS JUNIO 2021]]</f>
        <v>146</v>
      </c>
      <c r="Z298" s="40" t="s">
        <v>12</v>
      </c>
      <c r="AA298" s="122">
        <v>51.25</v>
      </c>
      <c r="AB298" s="93">
        <f t="shared" si="9"/>
        <v>60.475000000000001</v>
      </c>
      <c r="AC298" s="94">
        <f>Tabla1[[#This Row],[STOCK JUNIO ]]*Tabla1[[#This Row],[COSTO UNITARIO SIN ITBIS]]</f>
        <v>7482.5</v>
      </c>
    </row>
    <row r="299" spans="1:29" s="12" customFormat="1" x14ac:dyDescent="0.25">
      <c r="A299" s="261">
        <v>60</v>
      </c>
      <c r="B299" s="42">
        <v>43636</v>
      </c>
      <c r="C299" s="41" t="s">
        <v>11</v>
      </c>
      <c r="D299" s="42">
        <v>43633</v>
      </c>
      <c r="E299" s="139"/>
      <c r="F299" s="43">
        <v>1274</v>
      </c>
      <c r="G299" s="40" t="s">
        <v>197</v>
      </c>
      <c r="H299" s="65">
        <f>2+3</f>
        <v>5</v>
      </c>
      <c r="I299" s="65"/>
      <c r="J299" s="65">
        <f>+'INVENTARIO ABRIL-JUNIO 2021'!$H299-'INVENTARIO ABRIL-JUNIO 2021'!$I299</f>
        <v>5</v>
      </c>
      <c r="K299" s="65"/>
      <c r="L299" s="65"/>
      <c r="M299" s="65"/>
      <c r="N299" s="65"/>
      <c r="O299" s="215"/>
      <c r="P299" s="65"/>
      <c r="Q299" s="65"/>
      <c r="R299" s="65"/>
      <c r="S299" s="65"/>
      <c r="T299" s="65"/>
      <c r="U299" s="65">
        <f>+Tabla1[[#This Row],[STOCK    FISICO ENERO 2021]]-Tabla1[[#This Row],[REQUISICIONES FEBRERO 2021]]</f>
        <v>5</v>
      </c>
      <c r="V299" s="65">
        <f>+Tabla1[[#This Row],[STOCK  FEBRERO 2021]]-Tabla1[[#This Row],[REQUISICIONES MARZO 2021]]+Tabla1[[#This Row],[ENTRADAS MARZO 2021]]</f>
        <v>5</v>
      </c>
      <c r="W299" s="65">
        <f>+Tabla1[[#This Row],[STOCK MARZO 2021]]-Tabla1[[#This Row],[REQUISICIONES ABRIL 2021]]+Tabla1[[#This Row],[ENTRADAS ABRIL 2021]]</f>
        <v>5</v>
      </c>
      <c r="X299" s="65">
        <f>+Tabla1[[#This Row],[STOCK ABRIL 2021]]-Tabla1[[#This Row],[REQUISICIONES MAYO 2021]]+Tabla1[[#This Row],[ENTRADAS MAYO 2021]]</f>
        <v>5</v>
      </c>
      <c r="Y299" s="65">
        <f>+Tabla1[[#This Row],[STOCK MAYO 2021]]-Tabla1[[#This Row],[REQUISICIONES JUNIO 2021]]+Tabla1[[#This Row],[ENTRADAS JUNIO 2021]]</f>
        <v>5</v>
      </c>
      <c r="Z299" s="40" t="s">
        <v>12</v>
      </c>
      <c r="AA299" s="45">
        <v>879.3</v>
      </c>
      <c r="AB299" s="35">
        <f t="shared" si="9"/>
        <v>1037.5739999999998</v>
      </c>
      <c r="AC299" s="94">
        <f>Tabla1[[#This Row],[STOCK JUNIO ]]*Tabla1[[#This Row],[COSTO UNITARIO SIN ITBIS]]</f>
        <v>4396.5</v>
      </c>
    </row>
    <row r="300" spans="1:29" s="12" customFormat="1" x14ac:dyDescent="0.25">
      <c r="A300" s="261">
        <v>61</v>
      </c>
      <c r="B300" s="117">
        <v>44323</v>
      </c>
      <c r="C300" s="41" t="s">
        <v>11</v>
      </c>
      <c r="D300" s="117">
        <v>44320</v>
      </c>
      <c r="E300" s="138" t="s">
        <v>734</v>
      </c>
      <c r="F300" s="197"/>
      <c r="G300" s="119" t="s">
        <v>843</v>
      </c>
      <c r="H300" s="120"/>
      <c r="I300" s="120"/>
      <c r="J300" s="120">
        <f>+'INVENTARIO ABRIL-JUNIO 2021'!$H300-'INVENTARIO ABRIL-JUNIO 2021'!$I300</f>
        <v>0</v>
      </c>
      <c r="K300" s="120"/>
      <c r="L300" s="120"/>
      <c r="M300" s="120"/>
      <c r="N300" s="126">
        <f>5*30</f>
        <v>150</v>
      </c>
      <c r="O300" s="121"/>
      <c r="P300" s="120"/>
      <c r="Q300" s="120"/>
      <c r="R300" s="120"/>
      <c r="S300" s="120"/>
      <c r="T300" s="120"/>
      <c r="U300" s="121">
        <f>+Tabla1[[#This Row],[STOCK    FISICO ENERO 2021]]-Tabla1[[#This Row],[REQUISICIONES FEBRERO 2021]]</f>
        <v>0</v>
      </c>
      <c r="V300" s="121">
        <f>+Tabla1[[#This Row],[STOCK  FEBRERO 2021]]-Tabla1[[#This Row],[REQUISICIONES MARZO 2021]]+Tabla1[[#This Row],[ENTRADAS MARZO 2021]]</f>
        <v>0</v>
      </c>
      <c r="W300" s="215">
        <f>+Tabla1[[#This Row],[STOCK MARZO 2021]]-Tabla1[[#This Row],[REQUISICIONES ABRIL 2021]]+Tabla1[[#This Row],[ENTRADAS ABRIL 2021]]</f>
        <v>0</v>
      </c>
      <c r="X300" s="215">
        <f>+Tabla1[[#This Row],[STOCK ABRIL 2021]]-Tabla1[[#This Row],[REQUISICIONES MAYO 2021]]+Tabla1[[#This Row],[ENTRADAS MAYO 2021]]</f>
        <v>150</v>
      </c>
      <c r="Y300" s="239">
        <f>+Tabla1[[#This Row],[STOCK MAYO 2021]]-Tabla1[[#This Row],[REQUISICIONES JUNIO 2021]]+Tabla1[[#This Row],[ENTRADAS JUNIO 2021]]</f>
        <v>150</v>
      </c>
      <c r="Z300" s="216" t="s">
        <v>844</v>
      </c>
      <c r="AA300" s="122">
        <v>21.6</v>
      </c>
      <c r="AB300" s="35">
        <f t="shared" si="9"/>
        <v>25.488</v>
      </c>
      <c r="AC300" s="94">
        <f>Tabla1[[#This Row],[STOCK JUNIO ]]*Tabla1[[#This Row],[COSTO UNITARIO SIN ITBIS]]</f>
        <v>3240</v>
      </c>
    </row>
    <row r="301" spans="1:29" s="11" customFormat="1" x14ac:dyDescent="0.25">
      <c r="A301" s="261">
        <v>62</v>
      </c>
      <c r="B301" s="42">
        <v>43192</v>
      </c>
      <c r="C301" s="41" t="s">
        <v>11</v>
      </c>
      <c r="D301" s="42">
        <v>43192</v>
      </c>
      <c r="E301" s="139"/>
      <c r="F301" s="43">
        <v>1278</v>
      </c>
      <c r="G301" s="40" t="s">
        <v>825</v>
      </c>
      <c r="H301" s="65"/>
      <c r="I301" s="65"/>
      <c r="J301" s="65">
        <f>+'INVENTARIO ABRIL-JUNIO 2021'!$H301-'INVENTARIO ABRIL-JUNIO 2021'!$I301+40</f>
        <v>40</v>
      </c>
      <c r="K301" s="65"/>
      <c r="L301" s="65"/>
      <c r="M301" s="65"/>
      <c r="N301" s="65"/>
      <c r="O301" s="215"/>
      <c r="P301" s="65"/>
      <c r="Q301" s="65"/>
      <c r="R301" s="65"/>
      <c r="S301" s="65"/>
      <c r="T301" s="65"/>
      <c r="U301" s="65">
        <f>+Tabla1[[#This Row],[STOCK    FISICO ENERO 2021]]-Tabla1[[#This Row],[REQUISICIONES FEBRERO 2021]]</f>
        <v>40</v>
      </c>
      <c r="V301" s="65">
        <f>+Tabla1[[#This Row],[STOCK  FEBRERO 2021]]-Tabla1[[#This Row],[REQUISICIONES MARZO 2021]]+Tabla1[[#This Row],[ENTRADAS MARZO 2021]]</f>
        <v>40</v>
      </c>
      <c r="W301" s="65">
        <f>+Tabla1[[#This Row],[STOCK MARZO 2021]]-Tabla1[[#This Row],[REQUISICIONES ABRIL 2021]]+Tabla1[[#This Row],[ENTRADAS ABRIL 2021]]</f>
        <v>40</v>
      </c>
      <c r="X301" s="65">
        <f>+Tabla1[[#This Row],[STOCK ABRIL 2021]]-Tabla1[[#This Row],[REQUISICIONES MAYO 2021]]+Tabla1[[#This Row],[ENTRADAS MAYO 2021]]</f>
        <v>40</v>
      </c>
      <c r="Y301" s="65">
        <f>+Tabla1[[#This Row],[STOCK MAYO 2021]]-Tabla1[[#This Row],[REQUISICIONES JUNIO 2021]]+Tabla1[[#This Row],[ENTRADAS JUNIO 2021]]</f>
        <v>40</v>
      </c>
      <c r="Z301" s="40" t="s">
        <v>12</v>
      </c>
      <c r="AA301" s="45">
        <v>560</v>
      </c>
      <c r="AB301" s="35">
        <f t="shared" si="9"/>
        <v>660.8</v>
      </c>
      <c r="AC301" s="94">
        <f>Tabla1[[#This Row],[STOCK JUNIO ]]*Tabla1[[#This Row],[COSTO UNITARIO SIN ITBIS]]</f>
        <v>22400</v>
      </c>
    </row>
    <row r="302" spans="1:29" s="8" customFormat="1" x14ac:dyDescent="0.25">
      <c r="A302" s="261">
        <v>63</v>
      </c>
      <c r="B302" s="42">
        <v>43636</v>
      </c>
      <c r="C302" s="41" t="s">
        <v>11</v>
      </c>
      <c r="D302" s="42">
        <v>43633</v>
      </c>
      <c r="E302" s="139"/>
      <c r="F302" s="43">
        <v>1469</v>
      </c>
      <c r="G302" s="40" t="s">
        <v>198</v>
      </c>
      <c r="H302" s="65">
        <f>48+36</f>
        <v>84</v>
      </c>
      <c r="I302" s="65">
        <f>2+2</f>
        <v>4</v>
      </c>
      <c r="J302" s="65">
        <f>+'INVENTARIO ABRIL-JUNIO 2021'!$H302-'INVENTARIO ABRIL-JUNIO 2021'!$I302</f>
        <v>80</v>
      </c>
      <c r="K302" s="65"/>
      <c r="L302" s="65"/>
      <c r="M302" s="65"/>
      <c r="N302" s="65"/>
      <c r="O302" s="215"/>
      <c r="P302" s="65">
        <f>1+1+1+2</f>
        <v>5</v>
      </c>
      <c r="Q302" s="65">
        <v>2</v>
      </c>
      <c r="R302" s="65"/>
      <c r="S302" s="65"/>
      <c r="T302" s="65"/>
      <c r="U302" s="65">
        <f>+Tabla1[[#This Row],[STOCK    FISICO ENERO 2021]]-Tabla1[[#This Row],[REQUISICIONES FEBRERO 2021]]</f>
        <v>75</v>
      </c>
      <c r="V302" s="65">
        <f>+Tabla1[[#This Row],[STOCK  FEBRERO 2021]]-Tabla1[[#This Row],[REQUISICIONES MARZO 2021]]+Tabla1[[#This Row],[ENTRADAS MARZO 2021]]</f>
        <v>73</v>
      </c>
      <c r="W302" s="65">
        <f>+Tabla1[[#This Row],[STOCK MARZO 2021]]-Tabla1[[#This Row],[REQUISICIONES ABRIL 2021]]+Tabla1[[#This Row],[ENTRADAS ABRIL 2021]]</f>
        <v>73</v>
      </c>
      <c r="X302" s="65">
        <f>+Tabla1[[#This Row],[STOCK ABRIL 2021]]-Tabla1[[#This Row],[REQUISICIONES MAYO 2021]]+Tabla1[[#This Row],[ENTRADAS MAYO 2021]]</f>
        <v>73</v>
      </c>
      <c r="Y302" s="65">
        <f>+Tabla1[[#This Row],[STOCK MAYO 2021]]-Tabla1[[#This Row],[REQUISICIONES JUNIO 2021]]+Tabla1[[#This Row],[ENTRADAS JUNIO 2021]]</f>
        <v>73</v>
      </c>
      <c r="Z302" s="40" t="s">
        <v>12</v>
      </c>
      <c r="AA302" s="45">
        <v>109.74</v>
      </c>
      <c r="AB302" s="35">
        <f t="shared" si="9"/>
        <v>129.4932</v>
      </c>
      <c r="AC302" s="94">
        <f>Tabla1[[#This Row],[STOCK JUNIO ]]*Tabla1[[#This Row],[COSTO UNITARIO SIN ITBIS]]</f>
        <v>8011.0199999999995</v>
      </c>
    </row>
    <row r="303" spans="1:29" s="8" customFormat="1" x14ac:dyDescent="0.25">
      <c r="A303" s="261">
        <v>64</v>
      </c>
      <c r="B303" s="42">
        <v>43636</v>
      </c>
      <c r="C303" s="41" t="s">
        <v>11</v>
      </c>
      <c r="D303" s="42">
        <v>43633</v>
      </c>
      <c r="E303" s="139"/>
      <c r="F303" s="43">
        <v>1179</v>
      </c>
      <c r="G303" s="40" t="s">
        <v>199</v>
      </c>
      <c r="H303" s="65">
        <f>61+36</f>
        <v>97</v>
      </c>
      <c r="I303" s="65"/>
      <c r="J303" s="65">
        <f>+'INVENTARIO ABRIL-JUNIO 2021'!$H303-'INVENTARIO ABRIL-JUNIO 2021'!$I303</f>
        <v>97</v>
      </c>
      <c r="K303" s="65"/>
      <c r="L303" s="65"/>
      <c r="M303" s="65"/>
      <c r="N303" s="65"/>
      <c r="O303" s="215"/>
      <c r="P303" s="65"/>
      <c r="Q303" s="65">
        <v>2</v>
      </c>
      <c r="R303" s="65">
        <f>1+1</f>
        <v>2</v>
      </c>
      <c r="S303" s="65">
        <f>1+4+4+3</f>
        <v>12</v>
      </c>
      <c r="T303" s="65">
        <f>3+3</f>
        <v>6</v>
      </c>
      <c r="U303" s="65">
        <f>+Tabla1[[#This Row],[STOCK    FISICO ENERO 2021]]-Tabla1[[#This Row],[REQUISICIONES FEBRERO 2021]]</f>
        <v>97</v>
      </c>
      <c r="V303" s="65">
        <f>+Tabla1[[#This Row],[STOCK  FEBRERO 2021]]-Tabla1[[#This Row],[REQUISICIONES MARZO 2021]]+Tabla1[[#This Row],[ENTRADAS MARZO 2021]]</f>
        <v>95</v>
      </c>
      <c r="W303" s="65">
        <f>+Tabla1[[#This Row],[STOCK MARZO 2021]]-Tabla1[[#This Row],[REQUISICIONES ABRIL 2021]]+Tabla1[[#This Row],[ENTRADAS ABRIL 2021]]</f>
        <v>93</v>
      </c>
      <c r="X303" s="65">
        <f>+Tabla1[[#This Row],[STOCK ABRIL 2021]]-Tabla1[[#This Row],[REQUISICIONES MAYO 2021]]+Tabla1[[#This Row],[ENTRADAS MAYO 2021]]</f>
        <v>81</v>
      </c>
      <c r="Y303" s="65">
        <f>+Tabla1[[#This Row],[STOCK MAYO 2021]]-Tabla1[[#This Row],[REQUISICIONES JUNIO 2021]]+Tabla1[[#This Row],[ENTRADAS JUNIO 2021]]</f>
        <v>75</v>
      </c>
      <c r="Z303" s="40" t="s">
        <v>12</v>
      </c>
      <c r="AA303" s="45">
        <v>147</v>
      </c>
      <c r="AB303" s="35">
        <f t="shared" si="9"/>
        <v>173.46</v>
      </c>
      <c r="AC303" s="94">
        <f>Tabla1[[#This Row],[STOCK JUNIO ]]*Tabla1[[#This Row],[COSTO UNITARIO SIN ITBIS]]</f>
        <v>11025</v>
      </c>
    </row>
    <row r="304" spans="1:29" s="8" customFormat="1" x14ac:dyDescent="0.25">
      <c r="A304" s="261">
        <v>65</v>
      </c>
      <c r="B304" s="42">
        <v>43453</v>
      </c>
      <c r="C304" s="41" t="s">
        <v>11</v>
      </c>
      <c r="D304" s="42">
        <v>43453</v>
      </c>
      <c r="E304" s="139"/>
      <c r="F304" s="43">
        <v>1273</v>
      </c>
      <c r="G304" s="40" t="s">
        <v>858</v>
      </c>
      <c r="H304" s="65">
        <v>28</v>
      </c>
      <c r="I304" s="65"/>
      <c r="J304" s="65">
        <f>+'INVENTARIO ABRIL-JUNIO 2021'!$H304-'INVENTARIO ABRIL-JUNIO 2021'!$I304</f>
        <v>28</v>
      </c>
      <c r="K304" s="65"/>
      <c r="L304" s="65"/>
      <c r="M304" s="65"/>
      <c r="N304" s="65"/>
      <c r="O304" s="215"/>
      <c r="P304" s="65">
        <f>6+3+1+6+2</f>
        <v>18</v>
      </c>
      <c r="Q304" s="65">
        <f>3+6</f>
        <v>9</v>
      </c>
      <c r="R304" s="65">
        <v>1</v>
      </c>
      <c r="S304" s="65"/>
      <c r="T304" s="65"/>
      <c r="U304" s="65">
        <f>+Tabla1[[#This Row],[STOCK    FISICO ENERO 2021]]-Tabla1[[#This Row],[REQUISICIONES FEBRERO 2021]]</f>
        <v>10</v>
      </c>
      <c r="V304" s="65">
        <f>+Tabla1[[#This Row],[STOCK  FEBRERO 2021]]-Tabla1[[#This Row],[REQUISICIONES MARZO 2021]]+Tabla1[[#This Row],[ENTRADAS MARZO 2021]]</f>
        <v>1</v>
      </c>
      <c r="W304" s="65">
        <f>+Tabla1[[#This Row],[STOCK MARZO 2021]]-Tabla1[[#This Row],[REQUISICIONES ABRIL 2021]]+Tabla1[[#This Row],[ENTRADAS ABRIL 2021]]</f>
        <v>0</v>
      </c>
      <c r="X304" s="65">
        <f>+Tabla1[[#This Row],[STOCK ABRIL 2021]]-Tabla1[[#This Row],[REQUISICIONES MAYO 2021]]+Tabla1[[#This Row],[ENTRADAS MAYO 2021]]</f>
        <v>0</v>
      </c>
      <c r="Y304" s="65">
        <f>+Tabla1[[#This Row],[STOCK MAYO 2021]]-Tabla1[[#This Row],[REQUISICIONES JUNIO 2021]]+Tabla1[[#This Row],[ENTRADAS JUNIO 2021]]</f>
        <v>0</v>
      </c>
      <c r="Z304" s="40" t="s">
        <v>12</v>
      </c>
      <c r="AA304" s="45">
        <v>94.4</v>
      </c>
      <c r="AB304" s="35">
        <f t="shared" si="9"/>
        <v>111.39200000000001</v>
      </c>
      <c r="AC304" s="94">
        <f>Tabla1[[#This Row],[STOCK JUNIO ]]*Tabla1[[#This Row],[COSTO UNITARIO SIN ITBIS]]</f>
        <v>0</v>
      </c>
    </row>
    <row r="305" spans="1:29" s="8" customFormat="1" x14ac:dyDescent="0.25">
      <c r="A305" s="261">
        <v>66</v>
      </c>
      <c r="B305" s="117">
        <v>44286</v>
      </c>
      <c r="C305" s="41" t="s">
        <v>11</v>
      </c>
      <c r="D305" s="117">
        <v>44286</v>
      </c>
      <c r="E305" s="138" t="s">
        <v>755</v>
      </c>
      <c r="F305" s="197"/>
      <c r="G305" s="119" t="s">
        <v>859</v>
      </c>
      <c r="H305" s="120"/>
      <c r="I305" s="120"/>
      <c r="J305" s="120">
        <f>+'INVENTARIO ABRIL-JUNIO 2021'!$H305-'INVENTARIO ABRIL-JUNIO 2021'!$I305</f>
        <v>0</v>
      </c>
      <c r="K305" s="120"/>
      <c r="L305" s="120">
        <v>72</v>
      </c>
      <c r="M305" s="120"/>
      <c r="N305" s="120"/>
      <c r="O305" s="121"/>
      <c r="P305" s="120"/>
      <c r="Q305" s="120"/>
      <c r="R305" s="120">
        <f>1+2+1+4</f>
        <v>8</v>
      </c>
      <c r="S305" s="120">
        <f>2+7+3+4+1+3</f>
        <v>20</v>
      </c>
      <c r="T305" s="120">
        <f>6+2+10+6</f>
        <v>24</v>
      </c>
      <c r="U305" s="121">
        <f>+Tabla1[[#This Row],[STOCK    FISICO ENERO 2021]]-Tabla1[[#This Row],[REQUISICIONES FEBRERO 2021]]</f>
        <v>0</v>
      </c>
      <c r="V305" s="121">
        <f>+Tabla1[[#This Row],[STOCK  FEBRERO 2021]]-Tabla1[[#This Row],[REQUISICIONES MARZO 2021]]+Tabla1[[#This Row],[ENTRADAS MARZO 2021]]</f>
        <v>72</v>
      </c>
      <c r="W305" s="121">
        <f>+Tabla1[[#This Row],[STOCK MARZO 2021]]-Tabla1[[#This Row],[REQUISICIONES ABRIL 2021]]+Tabla1[[#This Row],[ENTRADAS ABRIL 2021]]</f>
        <v>64</v>
      </c>
      <c r="X305" s="121">
        <f>+Tabla1[[#This Row],[STOCK ABRIL 2021]]-Tabla1[[#This Row],[REQUISICIONES MAYO 2021]]+Tabla1[[#This Row],[ENTRADAS MAYO 2021]]</f>
        <v>44</v>
      </c>
      <c r="Y305" s="121">
        <f>+Tabla1[[#This Row],[STOCK MAYO 2021]]-Tabla1[[#This Row],[REQUISICIONES JUNIO 2021]]+Tabla1[[#This Row],[ENTRADAS JUNIO 2021]]</f>
        <v>20</v>
      </c>
      <c r="Z305" s="40" t="s">
        <v>12</v>
      </c>
      <c r="AA305" s="122">
        <v>45</v>
      </c>
      <c r="AB305" s="35">
        <f t="shared" si="9"/>
        <v>53.1</v>
      </c>
      <c r="AC305" s="94">
        <f>Tabla1[[#This Row],[STOCK JUNIO ]]*Tabla1[[#This Row],[COSTO UNITARIO SIN ITBIS]]</f>
        <v>900</v>
      </c>
    </row>
    <row r="306" spans="1:29" s="8" customFormat="1" x14ac:dyDescent="0.25">
      <c r="A306" s="261">
        <v>67</v>
      </c>
      <c r="B306" s="117">
        <v>44323</v>
      </c>
      <c r="C306" s="41" t="s">
        <v>11</v>
      </c>
      <c r="D306" s="117">
        <v>44322</v>
      </c>
      <c r="E306" s="138" t="s">
        <v>854</v>
      </c>
      <c r="F306" s="197"/>
      <c r="G306" s="119" t="s">
        <v>859</v>
      </c>
      <c r="H306" s="120"/>
      <c r="I306" s="120"/>
      <c r="J306" s="120">
        <f>+'INVENTARIO ABRIL-JUNIO 2021'!$H306-'INVENTARIO ABRIL-JUNIO 2021'!$I306</f>
        <v>0</v>
      </c>
      <c r="K306" s="120"/>
      <c r="L306" s="120"/>
      <c r="M306" s="120"/>
      <c r="N306" s="126">
        <v>60</v>
      </c>
      <c r="O306" s="121"/>
      <c r="P306" s="120"/>
      <c r="Q306" s="120"/>
      <c r="R306" s="120"/>
      <c r="S306" s="120"/>
      <c r="T306" s="120"/>
      <c r="U306" s="121">
        <f>+Tabla1[[#This Row],[STOCK    FISICO ENERO 2021]]-Tabla1[[#This Row],[REQUISICIONES FEBRERO 2021]]</f>
        <v>0</v>
      </c>
      <c r="V306" s="121">
        <f>+Tabla1[[#This Row],[STOCK  FEBRERO 2021]]-Tabla1[[#This Row],[REQUISICIONES MARZO 2021]]+Tabla1[[#This Row],[ENTRADAS MARZO 2021]]</f>
        <v>0</v>
      </c>
      <c r="W306" s="206">
        <f>+Tabla1[[#This Row],[STOCK MARZO 2021]]-Tabla1[[#This Row],[REQUISICIONES ABRIL 2021]]+Tabla1[[#This Row],[ENTRADAS ABRIL 2021]]</f>
        <v>0</v>
      </c>
      <c r="X306" s="206">
        <f>+Tabla1[[#This Row],[STOCK ABRIL 2021]]-Tabla1[[#This Row],[REQUISICIONES MAYO 2021]]+Tabla1[[#This Row],[ENTRADAS MAYO 2021]]</f>
        <v>60</v>
      </c>
      <c r="Y306" s="206">
        <f>+Tabla1[[#This Row],[STOCK MAYO 2021]]-Tabla1[[#This Row],[REQUISICIONES JUNIO 2021]]+Tabla1[[#This Row],[ENTRADAS JUNIO 2021]]</f>
        <v>60</v>
      </c>
      <c r="Z306" s="40" t="s">
        <v>12</v>
      </c>
      <c r="AA306" s="122">
        <v>80</v>
      </c>
      <c r="AB306" s="35">
        <f t="shared" si="9"/>
        <v>94.4</v>
      </c>
      <c r="AC306" s="94">
        <f>Tabla1[[#This Row],[STOCK JUNIO ]]*Tabla1[[#This Row],[COSTO UNITARIO SIN ITBIS]]</f>
        <v>4800</v>
      </c>
    </row>
    <row r="307" spans="1:29" s="8" customFormat="1" x14ac:dyDescent="0.25">
      <c r="A307" s="261">
        <v>68</v>
      </c>
      <c r="B307" s="117">
        <v>44323</v>
      </c>
      <c r="C307" s="41" t="s">
        <v>11</v>
      </c>
      <c r="D307" s="117">
        <v>44322</v>
      </c>
      <c r="E307" s="138" t="s">
        <v>854</v>
      </c>
      <c r="F307" s="197"/>
      <c r="G307" s="119" t="s">
        <v>860</v>
      </c>
      <c r="H307" s="120"/>
      <c r="I307" s="120"/>
      <c r="J307" s="120">
        <f>+'INVENTARIO ABRIL-JUNIO 2021'!$H307-'INVENTARIO ABRIL-JUNIO 2021'!$I307</f>
        <v>0</v>
      </c>
      <c r="K307" s="120"/>
      <c r="L307" s="120"/>
      <c r="M307" s="120"/>
      <c r="N307" s="126">
        <v>30</v>
      </c>
      <c r="O307" s="121"/>
      <c r="P307" s="120"/>
      <c r="Q307" s="120"/>
      <c r="R307" s="120"/>
      <c r="S307" s="120"/>
      <c r="T307" s="120"/>
      <c r="U307" s="121">
        <f>+Tabla1[[#This Row],[STOCK    FISICO ENERO 2021]]-Tabla1[[#This Row],[REQUISICIONES FEBRERO 2021]]</f>
        <v>0</v>
      </c>
      <c r="V307" s="121">
        <f>+Tabla1[[#This Row],[STOCK  FEBRERO 2021]]-Tabla1[[#This Row],[REQUISICIONES MARZO 2021]]+Tabla1[[#This Row],[ENTRADAS MARZO 2021]]</f>
        <v>0</v>
      </c>
      <c r="W307" s="206">
        <f>+Tabla1[[#This Row],[STOCK MARZO 2021]]-Tabla1[[#This Row],[REQUISICIONES ABRIL 2021]]+Tabla1[[#This Row],[ENTRADAS ABRIL 2021]]</f>
        <v>0</v>
      </c>
      <c r="X307" s="206">
        <f>+Tabla1[[#This Row],[STOCK ABRIL 2021]]-Tabla1[[#This Row],[REQUISICIONES MAYO 2021]]+Tabla1[[#This Row],[ENTRADAS MAYO 2021]]</f>
        <v>30</v>
      </c>
      <c r="Y307" s="206">
        <f>+Tabla1[[#This Row],[STOCK MAYO 2021]]-Tabla1[[#This Row],[REQUISICIONES JUNIO 2021]]+Tabla1[[#This Row],[ENTRADAS JUNIO 2021]]</f>
        <v>30</v>
      </c>
      <c r="Z307" s="40" t="s">
        <v>12</v>
      </c>
      <c r="AA307" s="122">
        <v>33</v>
      </c>
      <c r="AB307" s="35">
        <f t="shared" si="9"/>
        <v>38.94</v>
      </c>
      <c r="AC307" s="94">
        <f>Tabla1[[#This Row],[STOCK JUNIO ]]*Tabla1[[#This Row],[COSTO UNITARIO SIN ITBIS]]</f>
        <v>990</v>
      </c>
    </row>
    <row r="308" spans="1:29" s="8" customFormat="1" x14ac:dyDescent="0.25">
      <c r="A308" s="261">
        <v>69</v>
      </c>
      <c r="B308" s="117">
        <v>44323</v>
      </c>
      <c r="C308" s="41" t="s">
        <v>11</v>
      </c>
      <c r="D308" s="117">
        <v>44320</v>
      </c>
      <c r="E308" s="138" t="s">
        <v>851</v>
      </c>
      <c r="F308" s="197"/>
      <c r="G308" s="119" t="s">
        <v>853</v>
      </c>
      <c r="H308" s="120"/>
      <c r="I308" s="120"/>
      <c r="J308" s="120">
        <f>+'INVENTARIO ABRIL-JUNIO 2021'!$H308-'INVENTARIO ABRIL-JUNIO 2021'!$I308</f>
        <v>0</v>
      </c>
      <c r="K308" s="120"/>
      <c r="L308" s="120"/>
      <c r="M308" s="120"/>
      <c r="N308" s="126">
        <v>24</v>
      </c>
      <c r="O308" s="121"/>
      <c r="P308" s="120"/>
      <c r="Q308" s="120"/>
      <c r="R308" s="120"/>
      <c r="S308" s="120">
        <f>4+1</f>
        <v>5</v>
      </c>
      <c r="T308" s="120">
        <f>4+2</f>
        <v>6</v>
      </c>
      <c r="U308" s="121">
        <f>+Tabla1[[#This Row],[STOCK    FISICO ENERO 2021]]-Tabla1[[#This Row],[REQUISICIONES FEBRERO 2021]]</f>
        <v>0</v>
      </c>
      <c r="V308" s="121">
        <f>+Tabla1[[#This Row],[STOCK  FEBRERO 2021]]-Tabla1[[#This Row],[REQUISICIONES MARZO 2021]]+Tabla1[[#This Row],[ENTRADAS MARZO 2021]]</f>
        <v>0</v>
      </c>
      <c r="W308" s="206">
        <f>+Tabla1[[#This Row],[STOCK MARZO 2021]]-Tabla1[[#This Row],[REQUISICIONES ABRIL 2021]]+Tabla1[[#This Row],[ENTRADAS ABRIL 2021]]</f>
        <v>0</v>
      </c>
      <c r="X308" s="206">
        <f>+Tabla1[[#This Row],[STOCK ABRIL 2021]]-Tabla1[[#This Row],[REQUISICIONES MAYO 2021]]+Tabla1[[#This Row],[ENTRADAS MAYO 2021]]</f>
        <v>19</v>
      </c>
      <c r="Y308" s="206">
        <f>+Tabla1[[#This Row],[STOCK MAYO 2021]]-Tabla1[[#This Row],[REQUISICIONES JUNIO 2021]]+Tabla1[[#This Row],[ENTRADAS JUNIO 2021]]</f>
        <v>13</v>
      </c>
      <c r="Z308" s="40" t="s">
        <v>12</v>
      </c>
      <c r="AA308" s="122">
        <v>772.88</v>
      </c>
      <c r="AB308" s="35">
        <f t="shared" si="9"/>
        <v>911.99839999999995</v>
      </c>
      <c r="AC308" s="94">
        <f>Tabla1[[#This Row],[STOCK JUNIO ]]*Tabla1[[#This Row],[COSTO UNITARIO SIN ITBIS]]</f>
        <v>10047.44</v>
      </c>
    </row>
    <row r="309" spans="1:29" s="8" customFormat="1" ht="24.75" thickBot="1" x14ac:dyDescent="0.3">
      <c r="A309" s="57"/>
      <c r="B309" s="56"/>
      <c r="C309" s="56"/>
      <c r="D309" s="56"/>
      <c r="E309" s="141"/>
      <c r="F309" s="56"/>
      <c r="G309" s="56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6"/>
      <c r="AA309" s="58"/>
      <c r="AB309" s="58" t="s">
        <v>709</v>
      </c>
      <c r="AC309" s="95">
        <f>SUM(AC240:AC305)</f>
        <v>878639.245</v>
      </c>
    </row>
    <row r="310" spans="1:29" s="8" customFormat="1" ht="15.75" thickTop="1" x14ac:dyDescent="0.25">
      <c r="A310" s="262" t="s">
        <v>629</v>
      </c>
      <c r="B310" s="61"/>
      <c r="C310" s="61"/>
      <c r="D310" s="61"/>
      <c r="E310" s="96"/>
      <c r="F310" s="61"/>
      <c r="G310" s="61"/>
      <c r="H310" s="61"/>
      <c r="I310" s="61"/>
      <c r="J310" s="61"/>
      <c r="K310" s="61"/>
      <c r="L310" s="61"/>
      <c r="M310" s="61"/>
      <c r="N310" s="61"/>
      <c r="O310" s="262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96"/>
    </row>
    <row r="311" spans="1:29" s="8" customFormat="1" x14ac:dyDescent="0.25">
      <c r="A311" s="261">
        <v>1</v>
      </c>
      <c r="B311" s="31">
        <v>44110</v>
      </c>
      <c r="C311" s="28" t="s">
        <v>11</v>
      </c>
      <c r="D311" s="31">
        <v>44110</v>
      </c>
      <c r="E311" s="137"/>
      <c r="F311" s="28" t="s">
        <v>20</v>
      </c>
      <c r="G311" s="32" t="s">
        <v>200</v>
      </c>
      <c r="H311" s="63">
        <v>8</v>
      </c>
      <c r="I311" s="63"/>
      <c r="J311" s="63">
        <f>+'INVENTARIO ABRIL-JUNIO 2021'!$H311-'INVENTARIO ABRIL-JUNIO 2021'!$I311</f>
        <v>8</v>
      </c>
      <c r="K311" s="63"/>
      <c r="L311" s="63"/>
      <c r="M311" s="63"/>
      <c r="N311" s="63"/>
      <c r="O311" s="125"/>
      <c r="P311" s="63">
        <v>1</v>
      </c>
      <c r="Q311" s="63"/>
      <c r="R311" s="63">
        <v>1</v>
      </c>
      <c r="S311" s="63"/>
      <c r="T311" s="63"/>
      <c r="U311" s="63">
        <f>+Tabla1[[#This Row],[STOCK    FISICO ENERO 2021]]-Tabla1[[#This Row],[REQUISICIONES FEBRERO 2021]]</f>
        <v>7</v>
      </c>
      <c r="V311" s="63">
        <f>+Tabla1[[#This Row],[STOCK  FEBRERO 2021]]-Tabla1[[#This Row],[REQUISICIONES MARZO 2021]]+Tabla1[[#This Row],[ENTRADAS MARZO 2021]]</f>
        <v>7</v>
      </c>
      <c r="W311" s="63">
        <f>+Tabla1[[#This Row],[STOCK MARZO 2021]]-Tabla1[[#This Row],[REQUISICIONES ABRIL 2021]]+Tabla1[[#This Row],[ENTRADAS ABRIL 2021]]</f>
        <v>6</v>
      </c>
      <c r="X311" s="63">
        <f>+Tabla1[[#This Row],[STOCK ABRIL 2021]]-Tabla1[[#This Row],[REQUISICIONES MAYO 2021]]+Tabla1[[#This Row],[ENTRADAS MAYO 2021]]</f>
        <v>6</v>
      </c>
      <c r="Y311" s="63">
        <f>+Tabla1[[#This Row],[STOCK MAYO 2021]]-Tabla1[[#This Row],[REQUISICIONES JUNIO 2021]]+Tabla1[[#This Row],[ENTRADAS JUNIO 2021]]</f>
        <v>6</v>
      </c>
      <c r="Z311" s="30" t="s">
        <v>201</v>
      </c>
      <c r="AA311" s="34">
        <v>0</v>
      </c>
      <c r="AB311" s="35">
        <f>AA311*0.18+AA311</f>
        <v>0</v>
      </c>
      <c r="AC311" s="93">
        <f>Tabla1[[#This Row],[STOCK JUNIO ]]*Tabla1[[#This Row],[COSTO UNITARIO SIN ITBIS]]</f>
        <v>0</v>
      </c>
    </row>
    <row r="312" spans="1:29" s="12" customFormat="1" x14ac:dyDescent="0.25">
      <c r="A312" s="261">
        <v>2</v>
      </c>
      <c r="B312" s="31">
        <v>44167</v>
      </c>
      <c r="C312" s="28" t="s">
        <v>11</v>
      </c>
      <c r="D312" s="31">
        <v>44190</v>
      </c>
      <c r="E312" s="137"/>
      <c r="F312" s="28" t="s">
        <v>20</v>
      </c>
      <c r="G312" s="32" t="s">
        <v>202</v>
      </c>
      <c r="H312" s="63">
        <v>10</v>
      </c>
      <c r="I312" s="63"/>
      <c r="J312" s="63">
        <f>+'INVENTARIO ABRIL-JUNIO 2021'!$H312-'INVENTARIO ABRIL-JUNIO 2021'!$I312</f>
        <v>10</v>
      </c>
      <c r="K312" s="63"/>
      <c r="L312" s="63"/>
      <c r="M312" s="63"/>
      <c r="N312" s="63"/>
      <c r="O312" s="125"/>
      <c r="P312" s="63">
        <v>1</v>
      </c>
      <c r="Q312" s="63"/>
      <c r="R312" s="63"/>
      <c r="S312" s="63"/>
      <c r="T312" s="63"/>
      <c r="U312" s="63">
        <f>+Tabla1[[#This Row],[STOCK    FISICO ENERO 2021]]-Tabla1[[#This Row],[REQUISICIONES FEBRERO 2021]]</f>
        <v>9</v>
      </c>
      <c r="V312" s="63">
        <f>+Tabla1[[#This Row],[STOCK  FEBRERO 2021]]-Tabla1[[#This Row],[REQUISICIONES MARZO 2021]]+Tabla1[[#This Row],[ENTRADAS MARZO 2021]]</f>
        <v>9</v>
      </c>
      <c r="W312" s="63">
        <f>+Tabla1[[#This Row],[STOCK MARZO 2021]]-Tabla1[[#This Row],[REQUISICIONES ABRIL 2021]]+Tabla1[[#This Row],[ENTRADAS ABRIL 2021]]</f>
        <v>9</v>
      </c>
      <c r="X312" s="63">
        <f>+Tabla1[[#This Row],[STOCK ABRIL 2021]]-Tabla1[[#This Row],[REQUISICIONES MAYO 2021]]+Tabla1[[#This Row],[ENTRADAS MAYO 2021]]</f>
        <v>9</v>
      </c>
      <c r="Y312" s="63">
        <f>+Tabla1[[#This Row],[STOCK MAYO 2021]]-Tabla1[[#This Row],[REQUISICIONES JUNIO 2021]]+Tabla1[[#This Row],[ENTRADAS JUNIO 2021]]</f>
        <v>9</v>
      </c>
      <c r="Z312" s="30" t="s">
        <v>201</v>
      </c>
      <c r="AA312" s="34">
        <v>0</v>
      </c>
      <c r="AB312" s="35">
        <f t="shared" ref="AB312:AB322" si="10">AA312*0.18+AA312</f>
        <v>0</v>
      </c>
      <c r="AC312" s="93">
        <f>Tabla1[[#This Row],[STOCK JUNIO ]]*Tabla1[[#This Row],[COSTO UNITARIO SIN ITBIS]]</f>
        <v>0</v>
      </c>
    </row>
    <row r="313" spans="1:29" s="8" customFormat="1" x14ac:dyDescent="0.25">
      <c r="A313" s="261">
        <v>3</v>
      </c>
      <c r="B313" s="31">
        <v>44167</v>
      </c>
      <c r="C313" s="28" t="s">
        <v>11</v>
      </c>
      <c r="D313" s="31">
        <v>44190</v>
      </c>
      <c r="E313" s="137"/>
      <c r="F313" s="28" t="s">
        <v>20</v>
      </c>
      <c r="G313" s="32" t="s">
        <v>203</v>
      </c>
      <c r="H313" s="63">
        <v>8</v>
      </c>
      <c r="I313" s="63"/>
      <c r="J313" s="63">
        <f>+'INVENTARIO ABRIL-JUNIO 2021'!$H313-'INVENTARIO ABRIL-JUNIO 2021'!$I313-1</f>
        <v>7</v>
      </c>
      <c r="K313" s="63"/>
      <c r="L313" s="63"/>
      <c r="M313" s="63"/>
      <c r="N313" s="63"/>
      <c r="O313" s="125"/>
      <c r="P313" s="63">
        <v>1</v>
      </c>
      <c r="Q313" s="63"/>
      <c r="R313" s="63">
        <v>1</v>
      </c>
      <c r="S313" s="63"/>
      <c r="T313" s="63"/>
      <c r="U313" s="63">
        <f>+Tabla1[[#This Row],[STOCK    FISICO ENERO 2021]]-Tabla1[[#This Row],[REQUISICIONES FEBRERO 2021]]</f>
        <v>6</v>
      </c>
      <c r="V313" s="63">
        <f>+Tabla1[[#This Row],[STOCK  FEBRERO 2021]]-Tabla1[[#This Row],[REQUISICIONES MARZO 2021]]+Tabla1[[#This Row],[ENTRADAS MARZO 2021]]</f>
        <v>6</v>
      </c>
      <c r="W313" s="63">
        <f>+Tabla1[[#This Row],[STOCK MARZO 2021]]-Tabla1[[#This Row],[REQUISICIONES ABRIL 2021]]+Tabla1[[#This Row],[ENTRADAS ABRIL 2021]]</f>
        <v>5</v>
      </c>
      <c r="X313" s="63">
        <f>+Tabla1[[#This Row],[STOCK ABRIL 2021]]-Tabla1[[#This Row],[REQUISICIONES MAYO 2021]]+Tabla1[[#This Row],[ENTRADAS MAYO 2021]]</f>
        <v>5</v>
      </c>
      <c r="Y313" s="63">
        <f>+Tabla1[[#This Row],[STOCK MAYO 2021]]-Tabla1[[#This Row],[REQUISICIONES JUNIO 2021]]+Tabla1[[#This Row],[ENTRADAS JUNIO 2021]]</f>
        <v>5</v>
      </c>
      <c r="Z313" s="30" t="s">
        <v>201</v>
      </c>
      <c r="AA313" s="34">
        <v>0</v>
      </c>
      <c r="AB313" s="35">
        <f t="shared" si="10"/>
        <v>0</v>
      </c>
      <c r="AC313" s="93">
        <f>Tabla1[[#This Row],[STOCK JUNIO ]]*Tabla1[[#This Row],[COSTO UNITARIO SIN ITBIS]]</f>
        <v>0</v>
      </c>
    </row>
    <row r="314" spans="1:29" s="8" customFormat="1" x14ac:dyDescent="0.25">
      <c r="A314" s="261">
        <v>4</v>
      </c>
      <c r="B314" s="31">
        <v>44167</v>
      </c>
      <c r="C314" s="28" t="s">
        <v>11</v>
      </c>
      <c r="D314" s="31">
        <v>44190</v>
      </c>
      <c r="E314" s="137"/>
      <c r="F314" s="28" t="s">
        <v>20</v>
      </c>
      <c r="G314" s="32" t="s">
        <v>820</v>
      </c>
      <c r="H314" s="165"/>
      <c r="I314" s="165"/>
      <c r="J314" s="63">
        <f>+'INVENTARIO ABRIL-JUNIO 2021'!$H314-'INVENTARIO ABRIL-JUNIO 2021'!$I314+1</f>
        <v>1</v>
      </c>
      <c r="K314" s="165"/>
      <c r="L314" s="165"/>
      <c r="M314" s="165"/>
      <c r="N314" s="165"/>
      <c r="O314" s="295"/>
      <c r="P314" s="165"/>
      <c r="Q314" s="165"/>
      <c r="R314" s="165"/>
      <c r="S314" s="165"/>
      <c r="T314" s="165"/>
      <c r="U314" s="72">
        <f>+Tabla1[[#This Row],[STOCK    FISICO ENERO 2021]]-Tabla1[[#This Row],[REQUISICIONES FEBRERO 2021]]</f>
        <v>1</v>
      </c>
      <c r="V314" s="72">
        <f>+Tabla1[[#This Row],[STOCK  FEBRERO 2021]]-Tabla1[[#This Row],[REQUISICIONES MARZO 2021]]+Tabla1[[#This Row],[ENTRADAS MARZO 2021]]</f>
        <v>1</v>
      </c>
      <c r="W314" s="72">
        <f>+Tabla1[[#This Row],[STOCK MARZO 2021]]-Tabla1[[#This Row],[REQUISICIONES ABRIL 2021]]+Tabla1[[#This Row],[ENTRADAS ABRIL 2021]]</f>
        <v>1</v>
      </c>
      <c r="X314" s="72">
        <f>+Tabla1[[#This Row],[STOCK ABRIL 2021]]-Tabla1[[#This Row],[REQUISICIONES MAYO 2021]]+Tabla1[[#This Row],[ENTRADAS MAYO 2021]]</f>
        <v>1</v>
      </c>
      <c r="Y314" s="72">
        <f>+Tabla1[[#This Row],[STOCK MAYO 2021]]-Tabla1[[#This Row],[REQUISICIONES JUNIO 2021]]+Tabla1[[#This Row],[ENTRADAS JUNIO 2021]]</f>
        <v>1</v>
      </c>
      <c r="Z314" s="30" t="s">
        <v>201</v>
      </c>
      <c r="AA314" s="34">
        <v>0</v>
      </c>
      <c r="AB314" s="35">
        <f t="shared" si="10"/>
        <v>0</v>
      </c>
      <c r="AC314" s="93">
        <f>Tabla1[[#This Row],[STOCK JUNIO ]]*Tabla1[[#This Row],[COSTO UNITARIO SIN ITBIS]]</f>
        <v>0</v>
      </c>
    </row>
    <row r="315" spans="1:29" s="8" customFormat="1" x14ac:dyDescent="0.25">
      <c r="A315" s="261">
        <v>5</v>
      </c>
      <c r="B315" s="31">
        <v>44167</v>
      </c>
      <c r="C315" s="28" t="s">
        <v>11</v>
      </c>
      <c r="D315" s="31">
        <v>44190</v>
      </c>
      <c r="E315" s="137"/>
      <c r="F315" s="28">
        <v>1493</v>
      </c>
      <c r="G315" s="32" t="s">
        <v>204</v>
      </c>
      <c r="H315" s="63">
        <v>11</v>
      </c>
      <c r="I315" s="63"/>
      <c r="J315" s="63">
        <f>+'INVENTARIO ABRIL-JUNIO 2021'!$H315-'INVENTARIO ABRIL-JUNIO 2021'!$I315</f>
        <v>11</v>
      </c>
      <c r="K315" s="63"/>
      <c r="L315" s="63"/>
      <c r="M315" s="63"/>
      <c r="N315" s="63"/>
      <c r="O315" s="125"/>
      <c r="P315" s="63">
        <v>6</v>
      </c>
      <c r="Q315" s="63"/>
      <c r="R315" s="63">
        <v>1</v>
      </c>
      <c r="S315" s="63"/>
      <c r="T315" s="63"/>
      <c r="U315" s="63">
        <f>+Tabla1[[#This Row],[STOCK    FISICO ENERO 2021]]-Tabla1[[#This Row],[REQUISICIONES FEBRERO 2021]]</f>
        <v>5</v>
      </c>
      <c r="V315" s="63">
        <f>+Tabla1[[#This Row],[STOCK  FEBRERO 2021]]-Tabla1[[#This Row],[REQUISICIONES MARZO 2021]]+Tabla1[[#This Row],[ENTRADAS MARZO 2021]]</f>
        <v>5</v>
      </c>
      <c r="W315" s="63">
        <f>+Tabla1[[#This Row],[STOCK MARZO 2021]]-Tabla1[[#This Row],[REQUISICIONES ABRIL 2021]]+Tabla1[[#This Row],[ENTRADAS ABRIL 2021]]</f>
        <v>4</v>
      </c>
      <c r="X315" s="63">
        <f>+Tabla1[[#This Row],[STOCK ABRIL 2021]]-Tabla1[[#This Row],[REQUISICIONES MAYO 2021]]+Tabla1[[#This Row],[ENTRADAS MAYO 2021]]</f>
        <v>4</v>
      </c>
      <c r="Y315" s="63">
        <f>+Tabla1[[#This Row],[STOCK MAYO 2021]]-Tabla1[[#This Row],[REQUISICIONES JUNIO 2021]]+Tabla1[[#This Row],[ENTRADAS JUNIO 2021]]</f>
        <v>4</v>
      </c>
      <c r="Z315" s="30" t="s">
        <v>201</v>
      </c>
      <c r="AA315" s="34">
        <v>600</v>
      </c>
      <c r="AB315" s="35">
        <f t="shared" si="10"/>
        <v>708</v>
      </c>
      <c r="AC315" s="93">
        <f>Tabla1[[#This Row],[STOCK JUNIO ]]*Tabla1[[#This Row],[COSTO UNITARIO SIN ITBIS]]</f>
        <v>2400</v>
      </c>
    </row>
    <row r="316" spans="1:29" s="8" customFormat="1" x14ac:dyDescent="0.25">
      <c r="A316" s="261">
        <v>6</v>
      </c>
      <c r="B316" s="31">
        <v>44167</v>
      </c>
      <c r="C316" s="28" t="s">
        <v>11</v>
      </c>
      <c r="D316" s="31">
        <v>44190</v>
      </c>
      <c r="E316" s="137"/>
      <c r="F316" s="28" t="s">
        <v>20</v>
      </c>
      <c r="G316" s="32" t="s">
        <v>205</v>
      </c>
      <c r="H316" s="63">
        <v>2</v>
      </c>
      <c r="I316" s="63"/>
      <c r="J316" s="63">
        <f>+'INVENTARIO ABRIL-JUNIO 2021'!$H316-'INVENTARIO ABRIL-JUNIO 2021'!$I316</f>
        <v>2</v>
      </c>
      <c r="K316" s="63"/>
      <c r="L316" s="63"/>
      <c r="M316" s="63"/>
      <c r="N316" s="63"/>
      <c r="O316" s="125"/>
      <c r="P316" s="63"/>
      <c r="Q316" s="63"/>
      <c r="R316" s="63"/>
      <c r="S316" s="63"/>
      <c r="T316" s="63"/>
      <c r="U316" s="63">
        <f>+Tabla1[[#This Row],[STOCK    FISICO ENERO 2021]]-Tabla1[[#This Row],[REQUISICIONES FEBRERO 2021]]</f>
        <v>2</v>
      </c>
      <c r="V316" s="63">
        <f>+Tabla1[[#This Row],[STOCK  FEBRERO 2021]]-Tabla1[[#This Row],[REQUISICIONES MARZO 2021]]+Tabla1[[#This Row],[ENTRADAS MARZO 2021]]</f>
        <v>2</v>
      </c>
      <c r="W316" s="63">
        <f>+Tabla1[[#This Row],[STOCK MARZO 2021]]-Tabla1[[#This Row],[REQUISICIONES ABRIL 2021]]+Tabla1[[#This Row],[ENTRADAS ABRIL 2021]]</f>
        <v>2</v>
      </c>
      <c r="X316" s="63">
        <f>+Tabla1[[#This Row],[STOCK ABRIL 2021]]-Tabla1[[#This Row],[REQUISICIONES MAYO 2021]]+Tabla1[[#This Row],[ENTRADAS MAYO 2021]]</f>
        <v>2</v>
      </c>
      <c r="Y316" s="63">
        <f>+Tabla1[[#This Row],[STOCK MAYO 2021]]-Tabla1[[#This Row],[REQUISICIONES JUNIO 2021]]+Tabla1[[#This Row],[ENTRADAS JUNIO 2021]]</f>
        <v>2</v>
      </c>
      <c r="Z316" s="30" t="s">
        <v>201</v>
      </c>
      <c r="AA316" s="34">
        <v>0</v>
      </c>
      <c r="AB316" s="35">
        <f t="shared" si="10"/>
        <v>0</v>
      </c>
      <c r="AC316" s="93">
        <f>Tabla1[[#This Row],[STOCK JUNIO ]]*Tabla1[[#This Row],[COSTO UNITARIO SIN ITBIS]]</f>
        <v>0</v>
      </c>
    </row>
    <row r="317" spans="1:29" s="8" customFormat="1" x14ac:dyDescent="0.25">
      <c r="A317" s="261">
        <v>7</v>
      </c>
      <c r="B317" s="31">
        <v>44167</v>
      </c>
      <c r="C317" s="28" t="s">
        <v>11</v>
      </c>
      <c r="D317" s="31">
        <v>44190</v>
      </c>
      <c r="E317" s="137"/>
      <c r="F317" s="28" t="s">
        <v>20</v>
      </c>
      <c r="G317" s="32" t="s">
        <v>206</v>
      </c>
      <c r="H317" s="63">
        <v>6</v>
      </c>
      <c r="I317" s="63"/>
      <c r="J317" s="63">
        <f>+'INVENTARIO ABRIL-JUNIO 2021'!$H317-'INVENTARIO ABRIL-JUNIO 2021'!$I317</f>
        <v>6</v>
      </c>
      <c r="K317" s="63"/>
      <c r="L317" s="63"/>
      <c r="M317" s="63"/>
      <c r="N317" s="63"/>
      <c r="O317" s="125"/>
      <c r="P317" s="63"/>
      <c r="Q317" s="63"/>
      <c r="R317" s="63"/>
      <c r="S317" s="63"/>
      <c r="T317" s="63"/>
      <c r="U317" s="63">
        <f>+Tabla1[[#This Row],[STOCK    FISICO ENERO 2021]]-Tabla1[[#This Row],[REQUISICIONES FEBRERO 2021]]</f>
        <v>6</v>
      </c>
      <c r="V317" s="63">
        <f>+Tabla1[[#This Row],[STOCK  FEBRERO 2021]]-Tabla1[[#This Row],[REQUISICIONES MARZO 2021]]+Tabla1[[#This Row],[ENTRADAS MARZO 2021]]</f>
        <v>6</v>
      </c>
      <c r="W317" s="63">
        <f>+Tabla1[[#This Row],[STOCK MARZO 2021]]-Tabla1[[#This Row],[REQUISICIONES ABRIL 2021]]+Tabla1[[#This Row],[ENTRADAS ABRIL 2021]]</f>
        <v>6</v>
      </c>
      <c r="X317" s="63">
        <f>+Tabla1[[#This Row],[STOCK ABRIL 2021]]-Tabla1[[#This Row],[REQUISICIONES MAYO 2021]]+Tabla1[[#This Row],[ENTRADAS MAYO 2021]]</f>
        <v>6</v>
      </c>
      <c r="Y317" s="63">
        <f>+Tabla1[[#This Row],[STOCK MAYO 2021]]-Tabla1[[#This Row],[REQUISICIONES JUNIO 2021]]+Tabla1[[#This Row],[ENTRADAS JUNIO 2021]]</f>
        <v>6</v>
      </c>
      <c r="Z317" s="30" t="s">
        <v>193</v>
      </c>
      <c r="AA317" s="34">
        <v>796.66</v>
      </c>
      <c r="AB317" s="35">
        <f t="shared" si="10"/>
        <v>940.05880000000002</v>
      </c>
      <c r="AC317" s="93">
        <f>Tabla1[[#This Row],[STOCK JUNIO ]]*Tabla1[[#This Row],[COSTO UNITARIO SIN ITBIS]]</f>
        <v>4779.96</v>
      </c>
    </row>
    <row r="318" spans="1:29" s="8" customFormat="1" x14ac:dyDescent="0.25">
      <c r="A318" s="261">
        <v>8</v>
      </c>
      <c r="B318" s="31">
        <v>44110</v>
      </c>
      <c r="C318" s="28" t="s">
        <v>11</v>
      </c>
      <c r="D318" s="31">
        <v>44110</v>
      </c>
      <c r="E318" s="137"/>
      <c r="F318" s="54"/>
      <c r="G318" s="32" t="s">
        <v>818</v>
      </c>
      <c r="H318" s="68">
        <v>2</v>
      </c>
      <c r="I318" s="68"/>
      <c r="J318" s="68">
        <f>+'INVENTARIO ABRIL-JUNIO 2021'!$H318-'INVENTARIO ABRIL-JUNIO 2021'!$I318</f>
        <v>2</v>
      </c>
      <c r="K318" s="68"/>
      <c r="L318" s="68"/>
      <c r="M318" s="68"/>
      <c r="N318" s="68"/>
      <c r="O318" s="178"/>
      <c r="P318" s="68"/>
      <c r="Q318" s="68"/>
      <c r="R318" s="68"/>
      <c r="S318" s="68"/>
      <c r="T318" s="68"/>
      <c r="U318" s="68">
        <f>+Tabla1[[#This Row],[STOCK    FISICO ENERO 2021]]-Tabla1[[#This Row],[REQUISICIONES FEBRERO 2021]]</f>
        <v>2</v>
      </c>
      <c r="V318" s="68">
        <f>+Tabla1[[#This Row],[STOCK  FEBRERO 2021]]-Tabla1[[#This Row],[REQUISICIONES MARZO 2021]]+Tabla1[[#This Row],[ENTRADAS MARZO 2021]]</f>
        <v>2</v>
      </c>
      <c r="W318" s="68">
        <f>+Tabla1[[#This Row],[STOCK MARZO 2021]]-Tabla1[[#This Row],[REQUISICIONES ABRIL 2021]]+Tabla1[[#This Row],[ENTRADAS ABRIL 2021]]</f>
        <v>2</v>
      </c>
      <c r="X318" s="68">
        <f>+Tabla1[[#This Row],[STOCK ABRIL 2021]]-Tabla1[[#This Row],[REQUISICIONES MAYO 2021]]+Tabla1[[#This Row],[ENTRADAS MAYO 2021]]</f>
        <v>2</v>
      </c>
      <c r="Y318" s="68">
        <f>+Tabla1[[#This Row],[STOCK MAYO 2021]]-Tabla1[[#This Row],[REQUISICIONES JUNIO 2021]]+Tabla1[[#This Row],[ENTRADAS JUNIO 2021]]</f>
        <v>2</v>
      </c>
      <c r="Z318" s="30" t="s">
        <v>12</v>
      </c>
      <c r="AA318" s="41">
        <v>16542.29</v>
      </c>
      <c r="AB318" s="35">
        <f t="shared" si="10"/>
        <v>19519.9022</v>
      </c>
      <c r="AC318" s="93">
        <f>Tabla1[[#This Row],[STOCK JUNIO ]]*Tabla1[[#This Row],[COSTO UNITARIO SIN ITBIS]]</f>
        <v>33084.58</v>
      </c>
    </row>
    <row r="319" spans="1:29" s="12" customFormat="1" x14ac:dyDescent="0.25">
      <c r="A319" s="261">
        <v>9</v>
      </c>
      <c r="B319" s="31">
        <v>44110</v>
      </c>
      <c r="C319" s="28" t="s">
        <v>11</v>
      </c>
      <c r="D319" s="31">
        <v>44110</v>
      </c>
      <c r="E319" s="137"/>
      <c r="F319" s="28"/>
      <c r="G319" s="32" t="s">
        <v>207</v>
      </c>
      <c r="H319" s="63">
        <v>2</v>
      </c>
      <c r="I319" s="63"/>
      <c r="J319" s="63">
        <f>+'INVENTARIO ABRIL-JUNIO 2021'!$H319-'INVENTARIO ABRIL-JUNIO 2021'!$I319</f>
        <v>2</v>
      </c>
      <c r="K319" s="63"/>
      <c r="L319" s="63"/>
      <c r="M319" s="63"/>
      <c r="N319" s="63"/>
      <c r="O319" s="125"/>
      <c r="P319" s="63"/>
      <c r="Q319" s="63"/>
      <c r="R319" s="63">
        <v>1</v>
      </c>
      <c r="S319" s="63"/>
      <c r="T319" s="63"/>
      <c r="U319" s="63">
        <f>+Tabla1[[#This Row],[STOCK    FISICO ENERO 2021]]-Tabla1[[#This Row],[REQUISICIONES FEBRERO 2021]]</f>
        <v>2</v>
      </c>
      <c r="V319" s="63">
        <f>+Tabla1[[#This Row],[STOCK  FEBRERO 2021]]-Tabla1[[#This Row],[REQUISICIONES MARZO 2021]]+Tabla1[[#This Row],[ENTRADAS MARZO 2021]]</f>
        <v>2</v>
      </c>
      <c r="W319" s="63">
        <f>+Tabla1[[#This Row],[STOCK MARZO 2021]]-Tabla1[[#This Row],[REQUISICIONES ABRIL 2021]]+Tabla1[[#This Row],[ENTRADAS ABRIL 2021]]</f>
        <v>1</v>
      </c>
      <c r="X319" s="63">
        <f>+Tabla1[[#This Row],[STOCK ABRIL 2021]]-Tabla1[[#This Row],[REQUISICIONES MAYO 2021]]+Tabla1[[#This Row],[ENTRADAS MAYO 2021]]</f>
        <v>1</v>
      </c>
      <c r="Y319" s="63">
        <f>+Tabla1[[#This Row],[STOCK MAYO 2021]]-Tabla1[[#This Row],[REQUISICIONES JUNIO 2021]]+Tabla1[[#This Row],[ENTRADAS JUNIO 2021]]</f>
        <v>1</v>
      </c>
      <c r="Z319" s="30" t="s">
        <v>193</v>
      </c>
      <c r="AA319" s="34">
        <v>5590</v>
      </c>
      <c r="AB319" s="35">
        <f t="shared" si="10"/>
        <v>6596.2</v>
      </c>
      <c r="AC319" s="93">
        <f>Tabla1[[#This Row],[STOCK JUNIO ]]*Tabla1[[#This Row],[COSTO UNITARIO SIN ITBIS]]</f>
        <v>5590</v>
      </c>
    </row>
    <row r="320" spans="1:29" s="8" customFormat="1" x14ac:dyDescent="0.25">
      <c r="A320" s="261">
        <v>10</v>
      </c>
      <c r="B320" s="31">
        <v>44110</v>
      </c>
      <c r="C320" s="28" t="s">
        <v>11</v>
      </c>
      <c r="D320" s="31">
        <v>44110</v>
      </c>
      <c r="E320" s="137"/>
      <c r="F320" s="28" t="s">
        <v>20</v>
      </c>
      <c r="G320" s="32" t="s">
        <v>208</v>
      </c>
      <c r="H320" s="63">
        <v>168</v>
      </c>
      <c r="I320" s="63"/>
      <c r="J320" s="63">
        <f>+'INVENTARIO ABRIL-JUNIO 2021'!$H320-'INVENTARIO ABRIL-JUNIO 2021'!$I320</f>
        <v>168</v>
      </c>
      <c r="K320" s="63"/>
      <c r="L320" s="63"/>
      <c r="M320" s="63"/>
      <c r="N320" s="63"/>
      <c r="O320" s="125"/>
      <c r="P320" s="63">
        <v>12</v>
      </c>
      <c r="Q320" s="63"/>
      <c r="R320" s="63"/>
      <c r="S320" s="63"/>
      <c r="T320" s="63"/>
      <c r="U320" s="63">
        <f>+Tabla1[[#This Row],[STOCK    FISICO ENERO 2021]]-Tabla1[[#This Row],[REQUISICIONES FEBRERO 2021]]</f>
        <v>156</v>
      </c>
      <c r="V320" s="63">
        <f>+Tabla1[[#This Row],[STOCK  FEBRERO 2021]]-Tabla1[[#This Row],[REQUISICIONES MARZO 2021]]+Tabla1[[#This Row],[ENTRADAS MARZO 2021]]</f>
        <v>156</v>
      </c>
      <c r="W320" s="63">
        <f>+Tabla1[[#This Row],[STOCK MARZO 2021]]-Tabla1[[#This Row],[REQUISICIONES ABRIL 2021]]+Tabla1[[#This Row],[ENTRADAS ABRIL 2021]]</f>
        <v>156</v>
      </c>
      <c r="X320" s="63">
        <f>+Tabla1[[#This Row],[STOCK ABRIL 2021]]-Tabla1[[#This Row],[REQUISICIONES MAYO 2021]]+Tabla1[[#This Row],[ENTRADAS MAYO 2021]]</f>
        <v>156</v>
      </c>
      <c r="Y320" s="63">
        <f>+Tabla1[[#This Row],[STOCK MAYO 2021]]-Tabla1[[#This Row],[REQUISICIONES JUNIO 2021]]+Tabla1[[#This Row],[ENTRADAS JUNIO 2021]]</f>
        <v>156</v>
      </c>
      <c r="Z320" s="30" t="s">
        <v>193</v>
      </c>
      <c r="AA320" s="34">
        <v>0</v>
      </c>
      <c r="AB320" s="35">
        <f t="shared" si="10"/>
        <v>0</v>
      </c>
      <c r="AC320" s="93">
        <f>Tabla1[[#This Row],[STOCK JUNIO ]]*Tabla1[[#This Row],[COSTO UNITARIO SIN ITBIS]]</f>
        <v>0</v>
      </c>
    </row>
    <row r="321" spans="1:29" s="8" customFormat="1" x14ac:dyDescent="0.25">
      <c r="A321" s="261">
        <v>11</v>
      </c>
      <c r="B321" s="31">
        <v>43256</v>
      </c>
      <c r="C321" s="28" t="s">
        <v>11</v>
      </c>
      <c r="D321" s="31">
        <v>43256</v>
      </c>
      <c r="E321" s="137"/>
      <c r="F321" s="28" t="s">
        <v>20</v>
      </c>
      <c r="G321" s="32" t="s">
        <v>208</v>
      </c>
      <c r="H321" s="63">
        <v>96</v>
      </c>
      <c r="I321" s="63"/>
      <c r="J321" s="63">
        <f>+'INVENTARIO ABRIL-JUNIO 2021'!$H321-'INVENTARIO ABRIL-JUNIO 2021'!$I321</f>
        <v>96</v>
      </c>
      <c r="K321" s="63"/>
      <c r="L321" s="63"/>
      <c r="M321" s="63"/>
      <c r="N321" s="63"/>
      <c r="O321" s="125"/>
      <c r="P321" s="63"/>
      <c r="Q321" s="63"/>
      <c r="R321" s="63"/>
      <c r="S321" s="63"/>
      <c r="T321" s="63"/>
      <c r="U321" s="63">
        <f>+Tabla1[[#This Row],[STOCK    FISICO ENERO 2021]]-Tabla1[[#This Row],[REQUISICIONES FEBRERO 2021]]</f>
        <v>96</v>
      </c>
      <c r="V321" s="63">
        <f>+Tabla1[[#This Row],[STOCK  FEBRERO 2021]]-Tabla1[[#This Row],[REQUISICIONES MARZO 2021]]+Tabla1[[#This Row],[ENTRADAS MARZO 2021]]</f>
        <v>96</v>
      </c>
      <c r="W321" s="63">
        <f>+Tabla1[[#This Row],[STOCK MARZO 2021]]-Tabla1[[#This Row],[REQUISICIONES ABRIL 2021]]+Tabla1[[#This Row],[ENTRADAS ABRIL 2021]]</f>
        <v>96</v>
      </c>
      <c r="X321" s="63">
        <f>+Tabla1[[#This Row],[STOCK ABRIL 2021]]-Tabla1[[#This Row],[REQUISICIONES MAYO 2021]]+Tabla1[[#This Row],[ENTRADAS MAYO 2021]]</f>
        <v>96</v>
      </c>
      <c r="Y321" s="63">
        <f>+Tabla1[[#This Row],[STOCK MAYO 2021]]-Tabla1[[#This Row],[REQUISICIONES JUNIO 2021]]+Tabla1[[#This Row],[ENTRADAS JUNIO 2021]]</f>
        <v>96</v>
      </c>
      <c r="Z321" s="30" t="s">
        <v>193</v>
      </c>
      <c r="AA321" s="34">
        <v>0</v>
      </c>
      <c r="AB321" s="35">
        <f t="shared" si="10"/>
        <v>0</v>
      </c>
      <c r="AC321" s="93">
        <f>Tabla1[[#This Row],[STOCK JUNIO ]]*Tabla1[[#This Row],[COSTO UNITARIO SIN ITBIS]]</f>
        <v>0</v>
      </c>
    </row>
    <row r="322" spans="1:29" s="8" customFormat="1" x14ac:dyDescent="0.25">
      <c r="A322" s="261">
        <v>12</v>
      </c>
      <c r="B322" s="31">
        <v>43256</v>
      </c>
      <c r="C322" s="28" t="s">
        <v>11</v>
      </c>
      <c r="D322" s="31">
        <v>43256</v>
      </c>
      <c r="E322" s="137"/>
      <c r="F322" s="28" t="s">
        <v>20</v>
      </c>
      <c r="G322" s="32" t="s">
        <v>209</v>
      </c>
      <c r="H322" s="33">
        <v>74</v>
      </c>
      <c r="I322" s="33"/>
      <c r="J322" s="33">
        <f>+'INVENTARIO ABRIL-JUNIO 2021'!$H322-'INVENTARIO ABRIL-JUNIO 2021'!$I322</f>
        <v>74</v>
      </c>
      <c r="K322" s="33"/>
      <c r="L322" s="33"/>
      <c r="M322" s="33"/>
      <c r="N322" s="33"/>
      <c r="O322" s="167"/>
      <c r="P322" s="33"/>
      <c r="Q322" s="33">
        <v>12</v>
      </c>
      <c r="R322" s="33"/>
      <c r="S322" s="33">
        <v>12</v>
      </c>
      <c r="T322" s="33"/>
      <c r="U322" s="33">
        <f>+Tabla1[[#This Row],[STOCK    FISICO ENERO 2021]]-Tabla1[[#This Row],[REQUISICIONES FEBRERO 2021]]</f>
        <v>74</v>
      </c>
      <c r="V322" s="33">
        <f>+Tabla1[[#This Row],[STOCK  FEBRERO 2021]]-Tabla1[[#This Row],[REQUISICIONES MARZO 2021]]+Tabla1[[#This Row],[ENTRADAS MARZO 2021]]</f>
        <v>62</v>
      </c>
      <c r="W322" s="33">
        <f>+Tabla1[[#This Row],[STOCK MARZO 2021]]-Tabla1[[#This Row],[REQUISICIONES ABRIL 2021]]+Tabla1[[#This Row],[ENTRADAS ABRIL 2021]]</f>
        <v>62</v>
      </c>
      <c r="X322" s="33">
        <f>+Tabla1[[#This Row],[STOCK ABRIL 2021]]-Tabla1[[#This Row],[REQUISICIONES MAYO 2021]]+Tabla1[[#This Row],[ENTRADAS MAYO 2021]]</f>
        <v>50</v>
      </c>
      <c r="Y322" s="33">
        <f>+Tabla1[[#This Row],[STOCK MAYO 2021]]-Tabla1[[#This Row],[REQUISICIONES JUNIO 2021]]+Tabla1[[#This Row],[ENTRADAS JUNIO 2021]]</f>
        <v>50</v>
      </c>
      <c r="Z322" s="30" t="s">
        <v>201</v>
      </c>
      <c r="AA322" s="34">
        <v>0</v>
      </c>
      <c r="AB322" s="35">
        <f t="shared" si="10"/>
        <v>0</v>
      </c>
      <c r="AC322" s="93">
        <f>Tabla1[[#This Row],[STOCK JUNIO ]]*Tabla1[[#This Row],[COSTO UNITARIO SIN ITBIS]]</f>
        <v>0</v>
      </c>
    </row>
    <row r="323" spans="1:29" s="8" customFormat="1" x14ac:dyDescent="0.25">
      <c r="A323" s="261">
        <v>13</v>
      </c>
      <c r="B323" s="31">
        <v>44110</v>
      </c>
      <c r="C323" s="28" t="s">
        <v>11</v>
      </c>
      <c r="D323" s="31">
        <v>44110</v>
      </c>
      <c r="E323" s="137"/>
      <c r="F323" s="28" t="s">
        <v>20</v>
      </c>
      <c r="G323" s="32" t="s">
        <v>210</v>
      </c>
      <c r="H323" s="33">
        <v>56</v>
      </c>
      <c r="I323" s="33"/>
      <c r="J323" s="33">
        <f>+'INVENTARIO ABRIL-JUNIO 2021'!$H323-'INVENTARIO ABRIL-JUNIO 2021'!$I323</f>
        <v>56</v>
      </c>
      <c r="K323" s="33"/>
      <c r="L323" s="33"/>
      <c r="M323" s="33"/>
      <c r="N323" s="33"/>
      <c r="O323" s="167"/>
      <c r="P323" s="33"/>
      <c r="Q323" s="33">
        <v>12</v>
      </c>
      <c r="R323" s="33"/>
      <c r="S323" s="33">
        <v>12</v>
      </c>
      <c r="T323" s="33"/>
      <c r="U323" s="33">
        <f>+Tabla1[[#This Row],[STOCK    FISICO ENERO 2021]]-Tabla1[[#This Row],[REQUISICIONES FEBRERO 2021]]</f>
        <v>56</v>
      </c>
      <c r="V323" s="33">
        <f>+Tabla1[[#This Row],[STOCK  FEBRERO 2021]]-Tabla1[[#This Row],[REQUISICIONES MARZO 2021]]+Tabla1[[#This Row],[ENTRADAS MARZO 2021]]</f>
        <v>44</v>
      </c>
      <c r="W323" s="33">
        <f>+Tabla1[[#This Row],[STOCK MARZO 2021]]-Tabla1[[#This Row],[REQUISICIONES ABRIL 2021]]+Tabla1[[#This Row],[ENTRADAS ABRIL 2021]]</f>
        <v>44</v>
      </c>
      <c r="X323" s="33">
        <f>+Tabla1[[#This Row],[STOCK ABRIL 2021]]-Tabla1[[#This Row],[REQUISICIONES MAYO 2021]]+Tabla1[[#This Row],[ENTRADAS MAYO 2021]]</f>
        <v>32</v>
      </c>
      <c r="Y323" s="33">
        <f>+Tabla1[[#This Row],[STOCK MAYO 2021]]-Tabla1[[#This Row],[REQUISICIONES JUNIO 2021]]+Tabla1[[#This Row],[ENTRADAS JUNIO 2021]]</f>
        <v>32</v>
      </c>
      <c r="Z323" s="30" t="s">
        <v>201</v>
      </c>
      <c r="AA323" s="34">
        <v>97.6</v>
      </c>
      <c r="AB323" s="35">
        <v>114.99</v>
      </c>
      <c r="AC323" s="93">
        <f>Tabla1[[#This Row],[STOCK JUNIO ]]*Tabla1[[#This Row],[COSTO UNITARIO SIN ITBIS]]</f>
        <v>3123.2</v>
      </c>
    </row>
    <row r="324" spans="1:29" s="8" customFormat="1" x14ac:dyDescent="0.25">
      <c r="A324" s="261">
        <v>14</v>
      </c>
      <c r="B324" s="31">
        <v>44110</v>
      </c>
      <c r="C324" s="28" t="s">
        <v>11</v>
      </c>
      <c r="D324" s="31">
        <v>44110</v>
      </c>
      <c r="E324" s="137"/>
      <c r="F324" s="28" t="s">
        <v>20</v>
      </c>
      <c r="G324" s="32" t="s">
        <v>211</v>
      </c>
      <c r="H324" s="33">
        <v>120</v>
      </c>
      <c r="I324" s="33"/>
      <c r="J324" s="33">
        <f>+'INVENTARIO ABRIL-JUNIO 2021'!$H324-'INVENTARIO ABRIL-JUNIO 2021'!$I324</f>
        <v>120</v>
      </c>
      <c r="K324" s="33"/>
      <c r="L324" s="33"/>
      <c r="M324" s="33"/>
      <c r="N324" s="33"/>
      <c r="O324" s="167"/>
      <c r="P324" s="33">
        <v>12</v>
      </c>
      <c r="Q324" s="33"/>
      <c r="R324" s="33">
        <v>12</v>
      </c>
      <c r="S324" s="33"/>
      <c r="T324" s="33"/>
      <c r="U324" s="33">
        <f>+Tabla1[[#This Row],[STOCK    FISICO ENERO 2021]]-Tabla1[[#This Row],[REQUISICIONES FEBRERO 2021]]</f>
        <v>108</v>
      </c>
      <c r="V324" s="33">
        <f>+Tabla1[[#This Row],[STOCK  FEBRERO 2021]]-Tabla1[[#This Row],[REQUISICIONES MARZO 2021]]+Tabla1[[#This Row],[ENTRADAS MARZO 2021]]</f>
        <v>108</v>
      </c>
      <c r="W324" s="33">
        <f>+Tabla1[[#This Row],[STOCK MARZO 2021]]-Tabla1[[#This Row],[REQUISICIONES ABRIL 2021]]+Tabla1[[#This Row],[ENTRADAS ABRIL 2021]]</f>
        <v>96</v>
      </c>
      <c r="X324" s="33">
        <f>+Tabla1[[#This Row],[STOCK ABRIL 2021]]-Tabla1[[#This Row],[REQUISICIONES MAYO 2021]]+Tabla1[[#This Row],[ENTRADAS MAYO 2021]]</f>
        <v>96</v>
      </c>
      <c r="Y324" s="33">
        <f>+Tabla1[[#This Row],[STOCK MAYO 2021]]-Tabla1[[#This Row],[REQUISICIONES JUNIO 2021]]+Tabla1[[#This Row],[ENTRADAS JUNIO 2021]]</f>
        <v>96</v>
      </c>
      <c r="Z324" s="30" t="s">
        <v>201</v>
      </c>
      <c r="AA324" s="34">
        <v>0</v>
      </c>
      <c r="AB324" s="35">
        <f t="shared" ref="AB324:AB335" si="11">AA324*0.18+AA324</f>
        <v>0</v>
      </c>
      <c r="AC324" s="93">
        <f>Tabla1[[#This Row],[STOCK JUNIO ]]*Tabla1[[#This Row],[COSTO UNITARIO SIN ITBIS]]</f>
        <v>0</v>
      </c>
    </row>
    <row r="325" spans="1:29" s="8" customFormat="1" x14ac:dyDescent="0.25">
      <c r="A325" s="261">
        <v>15</v>
      </c>
      <c r="B325" s="31">
        <v>44110</v>
      </c>
      <c r="C325" s="28" t="s">
        <v>11</v>
      </c>
      <c r="D325" s="31">
        <v>44110</v>
      </c>
      <c r="E325" s="137"/>
      <c r="F325" s="28" t="s">
        <v>20</v>
      </c>
      <c r="G325" s="32" t="s">
        <v>212</v>
      </c>
      <c r="H325" s="33">
        <v>77</v>
      </c>
      <c r="I325" s="33"/>
      <c r="J325" s="33">
        <f>+'INVENTARIO ABRIL-JUNIO 2021'!$H325-'INVENTARIO ABRIL-JUNIO 2021'!$I325</f>
        <v>77</v>
      </c>
      <c r="K325" s="33"/>
      <c r="L325" s="33"/>
      <c r="M325" s="33"/>
      <c r="N325" s="33"/>
      <c r="O325" s="167"/>
      <c r="P325" s="33"/>
      <c r="Q325" s="33">
        <v>12</v>
      </c>
      <c r="R325" s="33"/>
      <c r="S325" s="33">
        <v>12</v>
      </c>
      <c r="T325" s="33"/>
      <c r="U325" s="33">
        <f>+Tabla1[[#This Row],[STOCK    FISICO ENERO 2021]]-Tabla1[[#This Row],[REQUISICIONES FEBRERO 2021]]</f>
        <v>77</v>
      </c>
      <c r="V325" s="33">
        <f>+Tabla1[[#This Row],[STOCK  FEBRERO 2021]]-Tabla1[[#This Row],[REQUISICIONES MARZO 2021]]+Tabla1[[#This Row],[ENTRADAS MARZO 2021]]</f>
        <v>65</v>
      </c>
      <c r="W325" s="33">
        <f>+Tabla1[[#This Row],[STOCK MARZO 2021]]-Tabla1[[#This Row],[REQUISICIONES ABRIL 2021]]+Tabla1[[#This Row],[ENTRADAS ABRIL 2021]]</f>
        <v>65</v>
      </c>
      <c r="X325" s="33">
        <f>+Tabla1[[#This Row],[STOCK ABRIL 2021]]-Tabla1[[#This Row],[REQUISICIONES MAYO 2021]]+Tabla1[[#This Row],[ENTRADAS MAYO 2021]]</f>
        <v>53</v>
      </c>
      <c r="Y325" s="33">
        <f>+Tabla1[[#This Row],[STOCK MAYO 2021]]-Tabla1[[#This Row],[REQUISICIONES JUNIO 2021]]+Tabla1[[#This Row],[ENTRADAS JUNIO 2021]]</f>
        <v>53</v>
      </c>
      <c r="Z325" s="30" t="s">
        <v>201</v>
      </c>
      <c r="AA325" s="34">
        <v>0</v>
      </c>
      <c r="AB325" s="35">
        <f t="shared" si="11"/>
        <v>0</v>
      </c>
      <c r="AC325" s="93">
        <f>Tabla1[[#This Row],[STOCK JUNIO ]]*Tabla1[[#This Row],[COSTO UNITARIO SIN ITBIS]]</f>
        <v>0</v>
      </c>
    </row>
    <row r="326" spans="1:29" s="8" customFormat="1" x14ac:dyDescent="0.25">
      <c r="A326" s="261">
        <v>16</v>
      </c>
      <c r="B326" s="31">
        <v>44110</v>
      </c>
      <c r="C326" s="28" t="s">
        <v>11</v>
      </c>
      <c r="D326" s="31">
        <v>44110</v>
      </c>
      <c r="E326" s="137"/>
      <c r="F326" s="28" t="s">
        <v>20</v>
      </c>
      <c r="G326" s="32" t="s">
        <v>213</v>
      </c>
      <c r="H326" s="33">
        <v>9</v>
      </c>
      <c r="I326" s="33"/>
      <c r="J326" s="33">
        <f>+'INVENTARIO ABRIL-JUNIO 2021'!$H326-'INVENTARIO ABRIL-JUNIO 2021'!$I326</f>
        <v>9</v>
      </c>
      <c r="K326" s="33"/>
      <c r="L326" s="33"/>
      <c r="M326" s="33"/>
      <c r="N326" s="33"/>
      <c r="O326" s="167"/>
      <c r="P326" s="33"/>
      <c r="Q326" s="33"/>
      <c r="R326" s="33"/>
      <c r="S326" s="33"/>
      <c r="T326" s="33"/>
      <c r="U326" s="33">
        <f>+Tabla1[[#This Row],[STOCK    FISICO ENERO 2021]]-Tabla1[[#This Row],[REQUISICIONES FEBRERO 2021]]</f>
        <v>9</v>
      </c>
      <c r="V326" s="33">
        <f>+Tabla1[[#This Row],[STOCK  FEBRERO 2021]]-Tabla1[[#This Row],[REQUISICIONES MARZO 2021]]+Tabla1[[#This Row],[ENTRADAS MARZO 2021]]</f>
        <v>9</v>
      </c>
      <c r="W326" s="33">
        <f>+Tabla1[[#This Row],[STOCK MARZO 2021]]-Tabla1[[#This Row],[REQUISICIONES ABRIL 2021]]+Tabla1[[#This Row],[ENTRADAS ABRIL 2021]]</f>
        <v>9</v>
      </c>
      <c r="X326" s="33">
        <f>+Tabla1[[#This Row],[STOCK ABRIL 2021]]-Tabla1[[#This Row],[REQUISICIONES MAYO 2021]]+Tabla1[[#This Row],[ENTRADAS MAYO 2021]]</f>
        <v>9</v>
      </c>
      <c r="Y326" s="33">
        <f>+Tabla1[[#This Row],[STOCK MAYO 2021]]-Tabla1[[#This Row],[REQUISICIONES JUNIO 2021]]+Tabla1[[#This Row],[ENTRADAS JUNIO 2021]]</f>
        <v>9</v>
      </c>
      <c r="Z326" s="30" t="s">
        <v>201</v>
      </c>
      <c r="AA326" s="34">
        <v>615</v>
      </c>
      <c r="AB326" s="35">
        <f t="shared" si="11"/>
        <v>725.7</v>
      </c>
      <c r="AC326" s="93">
        <f>Tabla1[[#This Row],[STOCK JUNIO ]]*Tabla1[[#This Row],[COSTO UNITARIO SIN ITBIS]]</f>
        <v>5535</v>
      </c>
    </row>
    <row r="327" spans="1:29" s="8" customFormat="1" x14ac:dyDescent="0.25">
      <c r="A327" s="261">
        <v>17</v>
      </c>
      <c r="B327" s="31">
        <v>44110</v>
      </c>
      <c r="C327" s="28" t="s">
        <v>11</v>
      </c>
      <c r="D327" s="31">
        <v>44110</v>
      </c>
      <c r="E327" s="137"/>
      <c r="F327" s="28" t="s">
        <v>20</v>
      </c>
      <c r="G327" s="32" t="s">
        <v>214</v>
      </c>
      <c r="H327" s="33">
        <v>7</v>
      </c>
      <c r="I327" s="33"/>
      <c r="J327" s="33">
        <f>+'INVENTARIO ABRIL-JUNIO 2021'!$H327-'INVENTARIO ABRIL-JUNIO 2021'!$I327</f>
        <v>7</v>
      </c>
      <c r="K327" s="33"/>
      <c r="L327" s="33"/>
      <c r="M327" s="33"/>
      <c r="N327" s="33"/>
      <c r="O327" s="167"/>
      <c r="P327" s="33"/>
      <c r="Q327" s="33"/>
      <c r="R327" s="33"/>
      <c r="S327" s="33">
        <v>2</v>
      </c>
      <c r="T327" s="33"/>
      <c r="U327" s="33">
        <f>+Tabla1[[#This Row],[STOCK    FISICO ENERO 2021]]-Tabla1[[#This Row],[REQUISICIONES FEBRERO 2021]]</f>
        <v>7</v>
      </c>
      <c r="V327" s="33">
        <f>+Tabla1[[#This Row],[STOCK  FEBRERO 2021]]-Tabla1[[#This Row],[REQUISICIONES MARZO 2021]]+Tabla1[[#This Row],[ENTRADAS MARZO 2021]]</f>
        <v>7</v>
      </c>
      <c r="W327" s="33">
        <f>+Tabla1[[#This Row],[STOCK MARZO 2021]]-Tabla1[[#This Row],[REQUISICIONES ABRIL 2021]]+Tabla1[[#This Row],[ENTRADAS ABRIL 2021]]</f>
        <v>7</v>
      </c>
      <c r="X327" s="33">
        <f>+Tabla1[[#This Row],[STOCK ABRIL 2021]]-Tabla1[[#This Row],[REQUISICIONES MAYO 2021]]+Tabla1[[#This Row],[ENTRADAS MAYO 2021]]</f>
        <v>5</v>
      </c>
      <c r="Y327" s="33">
        <f>+Tabla1[[#This Row],[STOCK MAYO 2021]]-Tabla1[[#This Row],[REQUISICIONES JUNIO 2021]]+Tabla1[[#This Row],[ENTRADAS JUNIO 2021]]</f>
        <v>5</v>
      </c>
      <c r="Z327" s="30" t="s">
        <v>201</v>
      </c>
      <c r="AA327" s="34">
        <v>614.78</v>
      </c>
      <c r="AB327" s="35">
        <f>AA327*0.18+AA327</f>
        <v>725.44039999999995</v>
      </c>
      <c r="AC327" s="93">
        <f>Tabla1[[#This Row],[STOCK JUNIO ]]*Tabla1[[#This Row],[COSTO UNITARIO SIN ITBIS]]</f>
        <v>3073.8999999999996</v>
      </c>
    </row>
    <row r="328" spans="1:29" s="8" customFormat="1" x14ac:dyDescent="0.25">
      <c r="A328" s="261">
        <v>18</v>
      </c>
      <c r="B328" s="31">
        <v>44110</v>
      </c>
      <c r="C328" s="28" t="s">
        <v>11</v>
      </c>
      <c r="D328" s="31">
        <v>44110</v>
      </c>
      <c r="E328" s="137"/>
      <c r="F328" s="28"/>
      <c r="G328" s="47" t="s">
        <v>215</v>
      </c>
      <c r="H328" s="63">
        <v>2</v>
      </c>
      <c r="I328" s="63"/>
      <c r="J328" s="63">
        <f>+'INVENTARIO ABRIL-JUNIO 2021'!$H328-'INVENTARIO ABRIL-JUNIO 2021'!$I328</f>
        <v>2</v>
      </c>
      <c r="K328" s="63"/>
      <c r="L328" s="63"/>
      <c r="M328" s="63"/>
      <c r="N328" s="63"/>
      <c r="O328" s="125"/>
      <c r="P328" s="63"/>
      <c r="Q328" s="63"/>
      <c r="R328" s="63"/>
      <c r="S328" s="63"/>
      <c r="T328" s="63"/>
      <c r="U328" s="63">
        <f>+Tabla1[[#This Row],[STOCK    FISICO ENERO 2021]]-Tabla1[[#This Row],[REQUISICIONES FEBRERO 2021]]</f>
        <v>2</v>
      </c>
      <c r="V328" s="63">
        <f>+Tabla1[[#This Row],[STOCK  FEBRERO 2021]]-Tabla1[[#This Row],[REQUISICIONES MARZO 2021]]+Tabla1[[#This Row],[ENTRADAS MARZO 2021]]</f>
        <v>2</v>
      </c>
      <c r="W328" s="160">
        <f>+Tabla1[[#This Row],[STOCK MARZO 2021]]-Tabla1[[#This Row],[REQUISICIONES ABRIL 2021]]+Tabla1[[#This Row],[ENTRADAS ABRIL 2021]]</f>
        <v>2</v>
      </c>
      <c r="X328" s="63">
        <f>+Tabla1[[#This Row],[STOCK ABRIL 2021]]-Tabla1[[#This Row],[REQUISICIONES MAYO 2021]]+Tabla1[[#This Row],[ENTRADAS MAYO 2021]]</f>
        <v>2</v>
      </c>
      <c r="Y328" s="63">
        <f>+Tabla1[[#This Row],[STOCK MAYO 2021]]-Tabla1[[#This Row],[REQUISICIONES JUNIO 2021]]+Tabla1[[#This Row],[ENTRADAS JUNIO 2021]]</f>
        <v>2</v>
      </c>
      <c r="Z328" s="30" t="s">
        <v>201</v>
      </c>
      <c r="AA328" s="34">
        <v>12075</v>
      </c>
      <c r="AB328" s="35">
        <f t="shared" si="11"/>
        <v>14248.5</v>
      </c>
      <c r="AC328" s="93">
        <f>Tabla1[[#This Row],[STOCK JUNIO ]]*Tabla1[[#This Row],[COSTO UNITARIO SIN ITBIS]]</f>
        <v>24150</v>
      </c>
    </row>
    <row r="329" spans="1:29" s="8" customFormat="1" x14ac:dyDescent="0.25">
      <c r="A329" s="261">
        <v>19</v>
      </c>
      <c r="B329" s="31">
        <v>44110</v>
      </c>
      <c r="C329" s="28" t="s">
        <v>11</v>
      </c>
      <c r="D329" s="31">
        <v>44110</v>
      </c>
      <c r="E329" s="137"/>
      <c r="F329" s="43">
        <v>1149</v>
      </c>
      <c r="G329" s="40" t="s">
        <v>216</v>
      </c>
      <c r="H329" s="40">
        <v>16</v>
      </c>
      <c r="I329" s="40">
        <f>1+2+1</f>
        <v>4</v>
      </c>
      <c r="J329" s="40">
        <f>+'INVENTARIO ABRIL-JUNIO 2021'!$H329-'INVENTARIO ABRIL-JUNIO 2021'!$I329</f>
        <v>12</v>
      </c>
      <c r="K329" s="40"/>
      <c r="L329" s="40"/>
      <c r="M329" s="40"/>
      <c r="N329" s="40"/>
      <c r="O329" s="168"/>
      <c r="P329" s="40">
        <f>1+1+1+1</f>
        <v>4</v>
      </c>
      <c r="Q329" s="40">
        <f>1+2+2</f>
        <v>5</v>
      </c>
      <c r="R329" s="40">
        <f>2+1</f>
        <v>3</v>
      </c>
      <c r="S329" s="40"/>
      <c r="T329" s="40"/>
      <c r="U329" s="40">
        <f>+Tabla1[[#This Row],[STOCK    FISICO ENERO 2021]]-Tabla1[[#This Row],[REQUISICIONES FEBRERO 2021]]</f>
        <v>8</v>
      </c>
      <c r="V329" s="40">
        <f>+Tabla1[[#This Row],[STOCK  FEBRERO 2021]]-Tabla1[[#This Row],[REQUISICIONES MARZO 2021]]+Tabla1[[#This Row],[ENTRADAS MARZO 2021]]</f>
        <v>3</v>
      </c>
      <c r="W329" s="40">
        <f>+Tabla1[[#This Row],[STOCK MARZO 2021]]-Tabla1[[#This Row],[REQUISICIONES ABRIL 2021]]+Tabla1[[#This Row],[ENTRADAS ABRIL 2021]]</f>
        <v>0</v>
      </c>
      <c r="X329" s="40">
        <f>+Tabla1[[#This Row],[STOCK ABRIL 2021]]-Tabla1[[#This Row],[REQUISICIONES MAYO 2021]]+Tabla1[[#This Row],[ENTRADAS MAYO 2021]]</f>
        <v>0</v>
      </c>
      <c r="Y329" s="40">
        <f>+Tabla1[[#This Row],[STOCK MAYO 2021]]-Tabla1[[#This Row],[REQUISICIONES JUNIO 2021]]+Tabla1[[#This Row],[ENTRADAS JUNIO 2021]]</f>
        <v>0</v>
      </c>
      <c r="Z329" s="40" t="s">
        <v>196</v>
      </c>
      <c r="AA329" s="45">
        <v>672.6</v>
      </c>
      <c r="AB329" s="35">
        <f t="shared" si="11"/>
        <v>793.66800000000001</v>
      </c>
      <c r="AC329" s="93">
        <f>Tabla1[[#This Row],[STOCK JUNIO ]]*Tabla1[[#This Row],[COSTO UNITARIO SIN ITBIS]]</f>
        <v>0</v>
      </c>
    </row>
    <row r="330" spans="1:29" s="8" customFormat="1" x14ac:dyDescent="0.25">
      <c r="A330" s="261">
        <v>20</v>
      </c>
      <c r="B330" s="310">
        <v>44370</v>
      </c>
      <c r="C330" s="28" t="s">
        <v>11</v>
      </c>
      <c r="D330" s="243">
        <v>44370</v>
      </c>
      <c r="E330" s="249" t="s">
        <v>918</v>
      </c>
      <c r="F330" s="322"/>
      <c r="G330" s="40" t="s">
        <v>922</v>
      </c>
      <c r="H330" s="245"/>
      <c r="I330" s="245"/>
      <c r="J330" s="245">
        <f>+'INVENTARIO ABRIL-JUNIO 2021'!$H330-'INVENTARIO ABRIL-JUNIO 2021'!$I330</f>
        <v>0</v>
      </c>
      <c r="K330" s="245"/>
      <c r="L330" s="245"/>
      <c r="M330" s="245"/>
      <c r="N330" s="246"/>
      <c r="O330" s="247">
        <f>12*6</f>
        <v>72</v>
      </c>
      <c r="P330" s="245"/>
      <c r="Q330" s="245"/>
      <c r="R330" s="245"/>
      <c r="S330" s="245"/>
      <c r="T330" s="245">
        <f>2+2</f>
        <v>4</v>
      </c>
      <c r="U330" s="247">
        <f>+Tabla1[[#This Row],[STOCK    FISICO ENERO 2021]]-Tabla1[[#This Row],[REQUISICIONES FEBRERO 2021]]</f>
        <v>0</v>
      </c>
      <c r="V330" s="247">
        <f>+Tabla1[[#This Row],[STOCK  FEBRERO 2021]]-Tabla1[[#This Row],[REQUISICIONES MARZO 2021]]+Tabla1[[#This Row],[ENTRADAS MARZO 2021]]</f>
        <v>0</v>
      </c>
      <c r="W330" s="168">
        <f>+Tabla1[[#This Row],[STOCK MARZO 2021]]-Tabla1[[#This Row],[REQUISICIONES ABRIL 2021]]+Tabla1[[#This Row],[ENTRADAS ABRIL 2021]]</f>
        <v>0</v>
      </c>
      <c r="X330" s="168">
        <f>+Tabla1[[#This Row],[STOCK ABRIL 2021]]-Tabla1[[#This Row],[REQUISICIONES MAYO 2021]]+Tabla1[[#This Row],[ENTRADAS MAYO 2021]]</f>
        <v>0</v>
      </c>
      <c r="Y330" s="168">
        <f>+Tabla1[[#This Row],[STOCK MAYO 2021]]-Tabla1[[#This Row],[REQUISICIONES JUNIO 2021]]+Tabla1[[#This Row],[ENTRADAS JUNIO 2021]]</f>
        <v>68</v>
      </c>
      <c r="Z330" s="40" t="s">
        <v>196</v>
      </c>
      <c r="AA330" s="45">
        <v>100.58333333333333</v>
      </c>
      <c r="AB330" s="39">
        <f t="shared" si="11"/>
        <v>118.68833333333333</v>
      </c>
      <c r="AC330" s="93">
        <f>Tabla1[[#This Row],[STOCK JUNIO ]]*Tabla1[[#This Row],[COSTO UNITARIO SIN ITBIS]]</f>
        <v>6839.6666666666661</v>
      </c>
    </row>
    <row r="331" spans="1:29" s="8" customFormat="1" x14ac:dyDescent="0.25">
      <c r="A331" s="261">
        <v>21</v>
      </c>
      <c r="B331" s="42">
        <v>43634</v>
      </c>
      <c r="C331" s="41" t="s">
        <v>11</v>
      </c>
      <c r="D331" s="42">
        <v>43634</v>
      </c>
      <c r="E331" s="139"/>
      <c r="F331" s="28" t="s">
        <v>20</v>
      </c>
      <c r="G331" s="32" t="s">
        <v>217</v>
      </c>
      <c r="H331" s="33">
        <v>54</v>
      </c>
      <c r="I331" s="33"/>
      <c r="J331" s="33">
        <f>+'INVENTARIO ABRIL-JUNIO 2021'!$H331-'INVENTARIO ABRIL-JUNIO 2021'!$I331</f>
        <v>54</v>
      </c>
      <c r="K331" s="33"/>
      <c r="L331" s="33"/>
      <c r="M331" s="33"/>
      <c r="N331" s="33"/>
      <c r="O331" s="167"/>
      <c r="P331" s="33"/>
      <c r="Q331" s="33">
        <v>10</v>
      </c>
      <c r="R331" s="33"/>
      <c r="S331" s="33">
        <v>12</v>
      </c>
      <c r="T331" s="33"/>
      <c r="U331" s="33">
        <f>+Tabla1[[#This Row],[STOCK    FISICO ENERO 2021]]-Tabla1[[#This Row],[REQUISICIONES FEBRERO 2021]]</f>
        <v>54</v>
      </c>
      <c r="V331" s="33">
        <f>+Tabla1[[#This Row],[STOCK  FEBRERO 2021]]-Tabla1[[#This Row],[REQUISICIONES MARZO 2021]]+Tabla1[[#This Row],[ENTRADAS MARZO 2021]]</f>
        <v>44</v>
      </c>
      <c r="W331" s="33">
        <f>+Tabla1[[#This Row],[STOCK MARZO 2021]]-Tabla1[[#This Row],[REQUISICIONES ABRIL 2021]]+Tabla1[[#This Row],[ENTRADAS ABRIL 2021]]</f>
        <v>44</v>
      </c>
      <c r="X331" s="33">
        <f>+Tabla1[[#This Row],[STOCK ABRIL 2021]]-Tabla1[[#This Row],[REQUISICIONES MAYO 2021]]+Tabla1[[#This Row],[ENTRADAS MAYO 2021]]</f>
        <v>32</v>
      </c>
      <c r="Y331" s="33">
        <f>+Tabla1[[#This Row],[STOCK MAYO 2021]]-Tabla1[[#This Row],[REQUISICIONES JUNIO 2021]]+Tabla1[[#This Row],[ENTRADAS JUNIO 2021]]</f>
        <v>32</v>
      </c>
      <c r="Z331" s="30" t="s">
        <v>201</v>
      </c>
      <c r="AA331" s="34">
        <v>0</v>
      </c>
      <c r="AB331" s="35">
        <f t="shared" si="11"/>
        <v>0</v>
      </c>
      <c r="AC331" s="93">
        <f>Tabla1[[#This Row],[STOCK JUNIO ]]*Tabla1[[#This Row],[COSTO UNITARIO SIN ITBIS]]</f>
        <v>0</v>
      </c>
    </row>
    <row r="332" spans="1:29" s="8" customFormat="1" x14ac:dyDescent="0.25">
      <c r="A332" s="261">
        <v>22</v>
      </c>
      <c r="B332" s="31">
        <v>44110</v>
      </c>
      <c r="C332" s="28" t="s">
        <v>11</v>
      </c>
      <c r="D332" s="31">
        <v>44110</v>
      </c>
      <c r="E332" s="137"/>
      <c r="F332" s="28" t="s">
        <v>20</v>
      </c>
      <c r="G332" s="32" t="s">
        <v>218</v>
      </c>
      <c r="H332" s="33">
        <v>88</v>
      </c>
      <c r="I332" s="33"/>
      <c r="J332" s="33">
        <f>+'INVENTARIO ABRIL-JUNIO 2021'!$H332-'INVENTARIO ABRIL-JUNIO 2021'!$I332</f>
        <v>88</v>
      </c>
      <c r="K332" s="33"/>
      <c r="L332" s="33"/>
      <c r="M332" s="33"/>
      <c r="N332" s="33"/>
      <c r="O332" s="167"/>
      <c r="P332" s="33"/>
      <c r="Q332" s="33"/>
      <c r="R332" s="33"/>
      <c r="S332" s="33"/>
      <c r="T332" s="33"/>
      <c r="U332" s="33">
        <f>+Tabla1[[#This Row],[STOCK    FISICO ENERO 2021]]-Tabla1[[#This Row],[REQUISICIONES FEBRERO 2021]]</f>
        <v>88</v>
      </c>
      <c r="V332" s="33">
        <f>+Tabla1[[#This Row],[STOCK  FEBRERO 2021]]-Tabla1[[#This Row],[REQUISICIONES MARZO 2021]]+Tabla1[[#This Row],[ENTRADAS MARZO 2021]]</f>
        <v>88</v>
      </c>
      <c r="W332" s="33">
        <f>+Tabla1[[#This Row],[STOCK MARZO 2021]]-Tabla1[[#This Row],[REQUISICIONES ABRIL 2021]]+Tabla1[[#This Row],[ENTRADAS ABRIL 2021]]</f>
        <v>88</v>
      </c>
      <c r="X332" s="33">
        <f>+Tabla1[[#This Row],[STOCK ABRIL 2021]]-Tabla1[[#This Row],[REQUISICIONES MAYO 2021]]+Tabla1[[#This Row],[ENTRADAS MAYO 2021]]</f>
        <v>88</v>
      </c>
      <c r="Y332" s="33">
        <f>+Tabla1[[#This Row],[STOCK MAYO 2021]]-Tabla1[[#This Row],[REQUISICIONES JUNIO 2021]]+Tabla1[[#This Row],[ENTRADAS JUNIO 2021]]</f>
        <v>88</v>
      </c>
      <c r="Z332" s="30" t="s">
        <v>201</v>
      </c>
      <c r="AA332" s="34">
        <v>0</v>
      </c>
      <c r="AB332" s="35">
        <f t="shared" si="11"/>
        <v>0</v>
      </c>
      <c r="AC332" s="93">
        <f>Tabla1[[#This Row],[STOCK JUNIO ]]*Tabla1[[#This Row],[COSTO UNITARIO SIN ITBIS]]</f>
        <v>0</v>
      </c>
    </row>
    <row r="333" spans="1:29" s="8" customFormat="1" x14ac:dyDescent="0.25">
      <c r="A333" s="261">
        <v>23</v>
      </c>
      <c r="B333" s="31">
        <v>44110</v>
      </c>
      <c r="C333" s="28" t="s">
        <v>11</v>
      </c>
      <c r="D333" s="31">
        <v>44110</v>
      </c>
      <c r="E333" s="137"/>
      <c r="F333" s="28" t="s">
        <v>20</v>
      </c>
      <c r="G333" s="32" t="s">
        <v>219</v>
      </c>
      <c r="H333" s="33">
        <v>78</v>
      </c>
      <c r="I333" s="33"/>
      <c r="J333" s="33">
        <f>+'INVENTARIO ABRIL-JUNIO 2021'!$H333-'INVENTARIO ABRIL-JUNIO 2021'!$I333</f>
        <v>78</v>
      </c>
      <c r="K333" s="33"/>
      <c r="L333" s="33"/>
      <c r="M333" s="33"/>
      <c r="N333" s="33"/>
      <c r="O333" s="167"/>
      <c r="P333" s="33">
        <v>12</v>
      </c>
      <c r="Q333" s="33"/>
      <c r="R333" s="33">
        <v>6</v>
      </c>
      <c r="S333" s="33"/>
      <c r="T333" s="33"/>
      <c r="U333" s="33">
        <f>+Tabla1[[#This Row],[STOCK    FISICO ENERO 2021]]-Tabla1[[#This Row],[REQUISICIONES FEBRERO 2021]]</f>
        <v>66</v>
      </c>
      <c r="V333" s="33">
        <f>+Tabla1[[#This Row],[STOCK  FEBRERO 2021]]-Tabla1[[#This Row],[REQUISICIONES MARZO 2021]]+Tabla1[[#This Row],[ENTRADAS MARZO 2021]]</f>
        <v>66</v>
      </c>
      <c r="W333" s="33">
        <f>+Tabla1[[#This Row],[STOCK MARZO 2021]]-Tabla1[[#This Row],[REQUISICIONES ABRIL 2021]]+Tabla1[[#This Row],[ENTRADAS ABRIL 2021]]</f>
        <v>60</v>
      </c>
      <c r="X333" s="33">
        <f>+Tabla1[[#This Row],[STOCK ABRIL 2021]]-Tabla1[[#This Row],[REQUISICIONES MAYO 2021]]+Tabla1[[#This Row],[ENTRADAS MAYO 2021]]</f>
        <v>60</v>
      </c>
      <c r="Y333" s="33">
        <f>+Tabla1[[#This Row],[STOCK MAYO 2021]]-Tabla1[[#This Row],[REQUISICIONES JUNIO 2021]]+Tabla1[[#This Row],[ENTRADAS JUNIO 2021]]</f>
        <v>60</v>
      </c>
      <c r="Z333" s="30" t="s">
        <v>193</v>
      </c>
      <c r="AA333" s="34">
        <v>0</v>
      </c>
      <c r="AB333" s="35">
        <f t="shared" si="11"/>
        <v>0</v>
      </c>
      <c r="AC333" s="93">
        <f>Tabla1[[#This Row],[STOCK JUNIO ]]*Tabla1[[#This Row],[COSTO UNITARIO SIN ITBIS]]</f>
        <v>0</v>
      </c>
    </row>
    <row r="334" spans="1:29" s="8" customFormat="1" x14ac:dyDescent="0.25">
      <c r="A334" s="261">
        <v>24</v>
      </c>
      <c r="B334" s="31">
        <v>44110</v>
      </c>
      <c r="C334" s="28" t="s">
        <v>11</v>
      </c>
      <c r="D334" s="31">
        <v>44110</v>
      </c>
      <c r="E334" s="137"/>
      <c r="F334" s="28" t="s">
        <v>20</v>
      </c>
      <c r="G334" s="32" t="s">
        <v>220</v>
      </c>
      <c r="H334" s="33">
        <v>30</v>
      </c>
      <c r="I334" s="33"/>
      <c r="J334" s="33">
        <f>+'INVENTARIO ABRIL-JUNIO 2021'!$H334-'INVENTARIO ABRIL-JUNIO 2021'!$I334</f>
        <v>30</v>
      </c>
      <c r="K334" s="33"/>
      <c r="L334" s="33"/>
      <c r="M334" s="33"/>
      <c r="N334" s="33"/>
      <c r="O334" s="167"/>
      <c r="P334" s="33"/>
      <c r="Q334" s="33"/>
      <c r="R334" s="33"/>
      <c r="S334" s="33">
        <v>12</v>
      </c>
      <c r="T334" s="33"/>
      <c r="U334" s="33">
        <f>+Tabla1[[#This Row],[STOCK    FISICO ENERO 2021]]-Tabla1[[#This Row],[REQUISICIONES FEBRERO 2021]]</f>
        <v>30</v>
      </c>
      <c r="V334" s="33">
        <f>+Tabla1[[#This Row],[STOCK  FEBRERO 2021]]-Tabla1[[#This Row],[REQUISICIONES MARZO 2021]]+Tabla1[[#This Row],[ENTRADAS MARZO 2021]]</f>
        <v>30</v>
      </c>
      <c r="W334" s="33">
        <f>+Tabla1[[#This Row],[STOCK MARZO 2021]]-Tabla1[[#This Row],[REQUISICIONES ABRIL 2021]]+Tabla1[[#This Row],[ENTRADAS ABRIL 2021]]</f>
        <v>30</v>
      </c>
      <c r="X334" s="33">
        <f>+Tabla1[[#This Row],[STOCK ABRIL 2021]]-Tabla1[[#This Row],[REQUISICIONES MAYO 2021]]+Tabla1[[#This Row],[ENTRADAS MAYO 2021]]</f>
        <v>18</v>
      </c>
      <c r="Y334" s="33">
        <f>+Tabla1[[#This Row],[STOCK MAYO 2021]]-Tabla1[[#This Row],[REQUISICIONES JUNIO 2021]]+Tabla1[[#This Row],[ENTRADAS JUNIO 2021]]</f>
        <v>18</v>
      </c>
      <c r="Z334" s="30" t="s">
        <v>193</v>
      </c>
      <c r="AA334" s="34">
        <v>0</v>
      </c>
      <c r="AB334" s="35">
        <f>AA334*0.18+AA334</f>
        <v>0</v>
      </c>
      <c r="AC334" s="93">
        <f>Tabla1[[#This Row],[STOCK JUNIO ]]*Tabla1[[#This Row],[COSTO UNITARIO SIN ITBIS]]</f>
        <v>0</v>
      </c>
    </row>
    <row r="335" spans="1:29" s="8" customFormat="1" x14ac:dyDescent="0.25">
      <c r="A335" s="261">
        <v>25</v>
      </c>
      <c r="B335" s="31">
        <v>44110</v>
      </c>
      <c r="C335" s="28" t="s">
        <v>11</v>
      </c>
      <c r="D335" s="31">
        <v>44110</v>
      </c>
      <c r="E335" s="137"/>
      <c r="F335" s="28" t="s">
        <v>20</v>
      </c>
      <c r="G335" s="32" t="s">
        <v>221</v>
      </c>
      <c r="H335" s="33">
        <v>4</v>
      </c>
      <c r="I335" s="33"/>
      <c r="J335" s="33">
        <f>+'INVENTARIO ABRIL-JUNIO 2021'!$H335-'INVENTARIO ABRIL-JUNIO 2021'!$I335</f>
        <v>4</v>
      </c>
      <c r="K335" s="33"/>
      <c r="L335" s="33"/>
      <c r="M335" s="33"/>
      <c r="N335" s="33"/>
      <c r="O335" s="167"/>
      <c r="P335" s="33">
        <v>1</v>
      </c>
      <c r="Q335" s="33"/>
      <c r="R335" s="33"/>
      <c r="S335" s="33">
        <v>1</v>
      </c>
      <c r="T335" s="33"/>
      <c r="U335" s="33">
        <f>+Tabla1[[#This Row],[STOCK    FISICO ENERO 2021]]-Tabla1[[#This Row],[REQUISICIONES FEBRERO 2021]]</f>
        <v>3</v>
      </c>
      <c r="V335" s="33">
        <f>+Tabla1[[#This Row],[STOCK  FEBRERO 2021]]-Tabla1[[#This Row],[REQUISICIONES MARZO 2021]]+Tabla1[[#This Row],[ENTRADAS MARZO 2021]]</f>
        <v>3</v>
      </c>
      <c r="W335" s="33">
        <f>+Tabla1[[#This Row],[STOCK MARZO 2021]]-Tabla1[[#This Row],[REQUISICIONES ABRIL 2021]]+Tabla1[[#This Row],[ENTRADAS ABRIL 2021]]</f>
        <v>3</v>
      </c>
      <c r="X335" s="33">
        <f>+Tabla1[[#This Row],[STOCK ABRIL 2021]]-Tabla1[[#This Row],[REQUISICIONES MAYO 2021]]+Tabla1[[#This Row],[ENTRADAS MAYO 2021]]</f>
        <v>2</v>
      </c>
      <c r="Y335" s="33">
        <f>+Tabla1[[#This Row],[STOCK MAYO 2021]]-Tabla1[[#This Row],[REQUISICIONES JUNIO 2021]]+Tabla1[[#This Row],[ENTRADAS JUNIO 2021]]</f>
        <v>2</v>
      </c>
      <c r="Z335" s="30" t="s">
        <v>201</v>
      </c>
      <c r="AA335" s="34">
        <v>0</v>
      </c>
      <c r="AB335" s="35">
        <f t="shared" si="11"/>
        <v>0</v>
      </c>
      <c r="AC335" s="93">
        <f>Tabla1[[#This Row],[STOCK JUNIO ]]*Tabla1[[#This Row],[COSTO UNITARIO SIN ITBIS]]</f>
        <v>0</v>
      </c>
    </row>
    <row r="336" spans="1:29" s="8" customFormat="1" x14ac:dyDescent="0.25">
      <c r="A336" s="261">
        <v>26</v>
      </c>
      <c r="B336" s="31">
        <v>44110</v>
      </c>
      <c r="C336" s="28" t="s">
        <v>11</v>
      </c>
      <c r="D336" s="31">
        <v>44110</v>
      </c>
      <c r="E336" s="137"/>
      <c r="F336" s="28" t="s">
        <v>20</v>
      </c>
      <c r="G336" s="32" t="s">
        <v>222</v>
      </c>
      <c r="H336" s="33">
        <v>108</v>
      </c>
      <c r="I336" s="33"/>
      <c r="J336" s="33">
        <f>+'INVENTARIO ABRIL-JUNIO 2021'!$H336-'INVENTARIO ABRIL-JUNIO 2021'!$I336</f>
        <v>108</v>
      </c>
      <c r="K336" s="33"/>
      <c r="L336" s="33"/>
      <c r="M336" s="33"/>
      <c r="N336" s="33"/>
      <c r="O336" s="167"/>
      <c r="P336" s="33"/>
      <c r="Q336" s="33"/>
      <c r="R336" s="33">
        <f>12+12</f>
        <v>24</v>
      </c>
      <c r="S336" s="33">
        <v>12</v>
      </c>
      <c r="T336" s="33"/>
      <c r="U336" s="33">
        <f>+Tabla1[[#This Row],[STOCK    FISICO ENERO 2021]]-Tabla1[[#This Row],[REQUISICIONES FEBRERO 2021]]</f>
        <v>108</v>
      </c>
      <c r="V336" s="33">
        <f>+Tabla1[[#This Row],[STOCK  FEBRERO 2021]]-Tabla1[[#This Row],[REQUISICIONES MARZO 2021]]+Tabla1[[#This Row],[ENTRADAS MARZO 2021]]</f>
        <v>108</v>
      </c>
      <c r="W336" s="33">
        <f>+Tabla1[[#This Row],[STOCK MARZO 2021]]-Tabla1[[#This Row],[REQUISICIONES ABRIL 2021]]+Tabla1[[#This Row],[ENTRADAS ABRIL 2021]]</f>
        <v>84</v>
      </c>
      <c r="X336" s="33">
        <f>+Tabla1[[#This Row],[STOCK ABRIL 2021]]-Tabla1[[#This Row],[REQUISICIONES MAYO 2021]]+Tabla1[[#This Row],[ENTRADAS MAYO 2021]]</f>
        <v>72</v>
      </c>
      <c r="Y336" s="33">
        <f>+Tabla1[[#This Row],[STOCK MAYO 2021]]-Tabla1[[#This Row],[REQUISICIONES JUNIO 2021]]+Tabla1[[#This Row],[ENTRADAS JUNIO 2021]]</f>
        <v>72</v>
      </c>
      <c r="Z336" s="30" t="s">
        <v>193</v>
      </c>
      <c r="AA336" s="34">
        <v>179</v>
      </c>
      <c r="AB336" s="35">
        <f>AA336*0.18+AA336</f>
        <v>211.22</v>
      </c>
      <c r="AC336" s="93">
        <f>Tabla1[[#This Row],[STOCK JUNIO ]]*Tabla1[[#This Row],[COSTO UNITARIO SIN ITBIS]]</f>
        <v>12888</v>
      </c>
    </row>
    <row r="337" spans="1:33" s="8" customFormat="1" ht="15.75" thickBot="1" x14ac:dyDescent="0.3">
      <c r="A337" s="264"/>
      <c r="B337" s="117"/>
      <c r="C337" s="118"/>
      <c r="D337" s="117"/>
      <c r="E337" s="138"/>
      <c r="F337" s="166"/>
      <c r="G337" s="119"/>
      <c r="H337" s="120"/>
      <c r="I337" s="120"/>
      <c r="J337" s="120"/>
      <c r="K337" s="120"/>
      <c r="L337" s="120"/>
      <c r="M337" s="120"/>
      <c r="N337" s="120"/>
      <c r="O337" s="121"/>
      <c r="P337" s="120"/>
      <c r="Q337" s="120"/>
      <c r="R337" s="120"/>
      <c r="S337" s="120"/>
      <c r="T337" s="120"/>
      <c r="U337" s="121"/>
      <c r="V337" s="121"/>
      <c r="W337" s="173"/>
      <c r="X337" s="173"/>
      <c r="Y337" s="212"/>
      <c r="Z337" s="171"/>
      <c r="AA337" s="122"/>
      <c r="AB337" s="58" t="s">
        <v>710</v>
      </c>
      <c r="AC337" s="95">
        <f>SUM(AC311:AC336)</f>
        <v>101464.30666666667</v>
      </c>
    </row>
    <row r="338" spans="1:33" s="8" customFormat="1" ht="15.75" thickTop="1" x14ac:dyDescent="0.25">
      <c r="A338" s="262" t="s">
        <v>815</v>
      </c>
      <c r="B338" s="61"/>
      <c r="C338" s="61"/>
      <c r="D338" s="61"/>
      <c r="E338" s="96"/>
      <c r="F338" s="61"/>
      <c r="G338" s="61"/>
      <c r="H338" s="61"/>
      <c r="I338" s="61"/>
      <c r="J338" s="61"/>
      <c r="K338" s="61"/>
      <c r="L338" s="61"/>
      <c r="M338" s="61"/>
      <c r="N338" s="61"/>
      <c r="O338" s="262"/>
      <c r="P338" s="61"/>
      <c r="Q338" s="61"/>
      <c r="R338" s="61"/>
      <c r="S338" s="61"/>
      <c r="T338" s="61"/>
      <c r="U338" s="61"/>
      <c r="V338" s="61"/>
      <c r="W338" s="182"/>
      <c r="X338" s="207"/>
      <c r="Y338" s="207"/>
      <c r="Z338" s="61"/>
      <c r="AA338" s="61"/>
      <c r="AB338" s="61"/>
      <c r="AC338" s="96"/>
    </row>
    <row r="339" spans="1:33" s="8" customFormat="1" x14ac:dyDescent="0.25">
      <c r="A339" s="261">
        <v>1</v>
      </c>
      <c r="B339" s="117">
        <v>44312</v>
      </c>
      <c r="C339" s="28" t="s">
        <v>11</v>
      </c>
      <c r="D339" s="117">
        <v>44307</v>
      </c>
      <c r="E339" s="158" t="s">
        <v>801</v>
      </c>
      <c r="F339" s="179"/>
      <c r="G339" s="32" t="s">
        <v>803</v>
      </c>
      <c r="H339" s="172"/>
      <c r="I339" s="172"/>
      <c r="J339" s="120">
        <f>+'INVENTARIO ABRIL-JUNIO 2021'!$H339-'INVENTARIO ABRIL-JUNIO 2021'!$I339</f>
        <v>0</v>
      </c>
      <c r="K339" s="172"/>
      <c r="L339" s="172"/>
      <c r="M339" s="121">
        <v>10</v>
      </c>
      <c r="N339" s="121"/>
      <c r="O339" s="121"/>
      <c r="P339" s="172"/>
      <c r="Q339" s="172"/>
      <c r="R339" s="209">
        <v>10</v>
      </c>
      <c r="S339" s="172"/>
      <c r="T339" s="172"/>
      <c r="U339" s="121">
        <f>+Tabla1[[#This Row],[STOCK    FISICO ENERO 2021]]-Tabla1[[#This Row],[REQUISICIONES FEBRERO 2021]]</f>
        <v>0</v>
      </c>
      <c r="V339" s="121">
        <f>+Tabla1[[#This Row],[STOCK  FEBRERO 2021]]-Tabla1[[#This Row],[REQUISICIONES MARZO 2021]]+Tabla1[[#This Row],[ENTRADAS MARZO 2021]]</f>
        <v>0</v>
      </c>
      <c r="W339" s="183">
        <f>+Tabla1[[#This Row],[STOCK MARZO 2021]]-Tabla1[[#This Row],[REQUISICIONES ABRIL 2021]]+Tabla1[[#This Row],[ENTRADAS ABRIL 2021]]</f>
        <v>0</v>
      </c>
      <c r="X339" s="33">
        <f>+Tabla1[[#This Row],[STOCK ABRIL 2021]]-Tabla1[[#This Row],[REQUISICIONES MAYO 2021]]+Tabla1[[#This Row],[ENTRADAS MAYO 2021]]</f>
        <v>0</v>
      </c>
      <c r="Y339" s="33">
        <f>+Tabla1[[#This Row],[STOCK MAYO 2021]]-Tabla1[[#This Row],[REQUISICIONES JUNIO 2021]]+Tabla1[[#This Row],[ENTRADAS JUNIO 2021]]</f>
        <v>0</v>
      </c>
      <c r="Z339" s="30" t="s">
        <v>12</v>
      </c>
      <c r="AA339" s="122">
        <v>616.54</v>
      </c>
      <c r="AB339" s="123">
        <f>+Tabla1[[#This Row],[COSTO UNITARIO SIN ITBIS]]*18%+Tabla1[[#This Row],[COSTO UNITARIO SIN ITBIS]]</f>
        <v>727.5172</v>
      </c>
      <c r="AC339" s="124">
        <f>Tabla1[[#This Row],[STOCK JUNIO ]]*Tabla1[[#This Row],[COSTO UNITARIO SIN ITBIS]]</f>
        <v>0</v>
      </c>
    </row>
    <row r="340" spans="1:33" s="8" customFormat="1" x14ac:dyDescent="0.25">
      <c r="A340" s="261">
        <v>2</v>
      </c>
      <c r="B340" s="117">
        <v>45408</v>
      </c>
      <c r="C340" s="28" t="s">
        <v>11</v>
      </c>
      <c r="D340" s="117">
        <v>44307</v>
      </c>
      <c r="E340" s="158" t="s">
        <v>801</v>
      </c>
      <c r="F340" s="179"/>
      <c r="G340" s="32" t="s">
        <v>804</v>
      </c>
      <c r="H340" s="172"/>
      <c r="I340" s="172"/>
      <c r="J340" s="120">
        <f>+'INVENTARIO ABRIL-JUNIO 2021'!$H340-'INVENTARIO ABRIL-JUNIO 2021'!$I340</f>
        <v>0</v>
      </c>
      <c r="K340" s="172"/>
      <c r="L340" s="172"/>
      <c r="M340" s="121">
        <v>1</v>
      </c>
      <c r="N340" s="121"/>
      <c r="O340" s="121"/>
      <c r="P340" s="172"/>
      <c r="Q340" s="172"/>
      <c r="R340" s="209">
        <v>1</v>
      </c>
      <c r="S340" s="172"/>
      <c r="T340" s="172"/>
      <c r="U340" s="121">
        <f>+Tabla1[[#This Row],[STOCK    FISICO ENERO 2021]]-Tabla1[[#This Row],[REQUISICIONES FEBRERO 2021]]</f>
        <v>0</v>
      </c>
      <c r="V340" s="121">
        <f>+Tabla1[[#This Row],[STOCK  FEBRERO 2021]]-Tabla1[[#This Row],[REQUISICIONES MARZO 2021]]+Tabla1[[#This Row],[ENTRADAS MARZO 2021]]</f>
        <v>0</v>
      </c>
      <c r="W340" s="183">
        <f>+Tabla1[[#This Row],[STOCK MARZO 2021]]-Tabla1[[#This Row],[REQUISICIONES ABRIL 2021]]+Tabla1[[#This Row],[ENTRADAS ABRIL 2021]]</f>
        <v>0</v>
      </c>
      <c r="X340" s="33">
        <f>+Tabla1[[#This Row],[STOCK ABRIL 2021]]-Tabla1[[#This Row],[REQUISICIONES MAYO 2021]]+Tabla1[[#This Row],[ENTRADAS MAYO 2021]]</f>
        <v>0</v>
      </c>
      <c r="Y340" s="33">
        <f>+Tabla1[[#This Row],[STOCK MAYO 2021]]-Tabla1[[#This Row],[REQUISICIONES JUNIO 2021]]+Tabla1[[#This Row],[ENTRADAS JUNIO 2021]]</f>
        <v>0</v>
      </c>
      <c r="Z340" s="30" t="s">
        <v>12</v>
      </c>
      <c r="AA340" s="122">
        <v>810.12</v>
      </c>
      <c r="AB340" s="123">
        <f>+Tabla1[[#This Row],[COSTO UNITARIO SIN ITBIS]]*18%+Tabla1[[#This Row],[COSTO UNITARIO SIN ITBIS]]</f>
        <v>955.94159999999999</v>
      </c>
      <c r="AC340" s="124">
        <f>Tabla1[[#This Row],[STOCK JUNIO ]]*Tabla1[[#This Row],[COSTO UNITARIO SIN ITBIS]]</f>
        <v>0</v>
      </c>
      <c r="AE340" s="184"/>
      <c r="AF340" s="184"/>
      <c r="AG340" s="184"/>
    </row>
    <row r="341" spans="1:33" s="8" customFormat="1" x14ac:dyDescent="0.25">
      <c r="A341" s="261">
        <v>3</v>
      </c>
      <c r="B341" s="117">
        <v>44312</v>
      </c>
      <c r="C341" s="28" t="s">
        <v>11</v>
      </c>
      <c r="D341" s="117">
        <v>44307</v>
      </c>
      <c r="E341" s="158" t="s">
        <v>801</v>
      </c>
      <c r="F341" s="179"/>
      <c r="G341" s="32" t="s">
        <v>805</v>
      </c>
      <c r="H341" s="172"/>
      <c r="I341" s="172"/>
      <c r="J341" s="120">
        <f>+'INVENTARIO ABRIL-JUNIO 2021'!$H341-'INVENTARIO ABRIL-JUNIO 2021'!$I341</f>
        <v>0</v>
      </c>
      <c r="K341" s="172"/>
      <c r="L341" s="172"/>
      <c r="M341" s="121">
        <v>4</v>
      </c>
      <c r="N341" s="121"/>
      <c r="O341" s="121"/>
      <c r="P341" s="172"/>
      <c r="Q341" s="172"/>
      <c r="R341" s="209">
        <v>4</v>
      </c>
      <c r="S341" s="172"/>
      <c r="T341" s="172"/>
      <c r="U341" s="121">
        <f>+Tabla1[[#This Row],[STOCK    FISICO ENERO 2021]]-Tabla1[[#This Row],[REQUISICIONES FEBRERO 2021]]</f>
        <v>0</v>
      </c>
      <c r="V341" s="121">
        <f>+Tabla1[[#This Row],[STOCK  FEBRERO 2021]]-Tabla1[[#This Row],[REQUISICIONES MARZO 2021]]+Tabla1[[#This Row],[ENTRADAS MARZO 2021]]</f>
        <v>0</v>
      </c>
      <c r="W341" s="183">
        <f>+Tabla1[[#This Row],[STOCK MARZO 2021]]-Tabla1[[#This Row],[REQUISICIONES ABRIL 2021]]+Tabla1[[#This Row],[ENTRADAS ABRIL 2021]]</f>
        <v>0</v>
      </c>
      <c r="X341" s="33">
        <f>+Tabla1[[#This Row],[STOCK ABRIL 2021]]-Tabla1[[#This Row],[REQUISICIONES MAYO 2021]]+Tabla1[[#This Row],[ENTRADAS MAYO 2021]]</f>
        <v>0</v>
      </c>
      <c r="Y341" s="33">
        <f>+Tabla1[[#This Row],[STOCK MAYO 2021]]-Tabla1[[#This Row],[REQUISICIONES JUNIO 2021]]+Tabla1[[#This Row],[ENTRADAS JUNIO 2021]]</f>
        <v>0</v>
      </c>
      <c r="Z341" s="30" t="s">
        <v>12</v>
      </c>
      <c r="AA341" s="122">
        <v>166.29</v>
      </c>
      <c r="AB341" s="123">
        <f>+Tabla1[[#This Row],[COSTO UNITARIO SIN ITBIS]]*18%+Tabla1[[#This Row],[COSTO UNITARIO SIN ITBIS]]</f>
        <v>196.22219999999999</v>
      </c>
      <c r="AC341" s="124">
        <f>Tabla1[[#This Row],[STOCK JUNIO ]]*Tabla1[[#This Row],[COSTO UNITARIO SIN ITBIS]]</f>
        <v>0</v>
      </c>
      <c r="AE341" s="184"/>
      <c r="AF341" s="184"/>
      <c r="AG341" s="184"/>
    </row>
    <row r="342" spans="1:33" s="8" customFormat="1" x14ac:dyDescent="0.25">
      <c r="A342" s="261">
        <v>4</v>
      </c>
      <c r="B342" s="117">
        <v>44312</v>
      </c>
      <c r="C342" s="174" t="s">
        <v>802</v>
      </c>
      <c r="D342" s="117">
        <v>44307</v>
      </c>
      <c r="E342" s="158" t="s">
        <v>801</v>
      </c>
      <c r="F342" s="179"/>
      <c r="G342" s="32" t="s">
        <v>806</v>
      </c>
      <c r="H342" s="172"/>
      <c r="I342" s="172"/>
      <c r="J342" s="120">
        <f>+'INVENTARIO ABRIL-JUNIO 2021'!$H342-'INVENTARIO ABRIL-JUNIO 2021'!$I342</f>
        <v>0</v>
      </c>
      <c r="K342" s="172"/>
      <c r="L342" s="172"/>
      <c r="M342" s="121">
        <v>1</v>
      </c>
      <c r="N342" s="121"/>
      <c r="O342" s="121"/>
      <c r="P342" s="172"/>
      <c r="Q342" s="172"/>
      <c r="R342" s="209">
        <v>1</v>
      </c>
      <c r="S342" s="172"/>
      <c r="T342" s="172"/>
      <c r="U342" s="121">
        <f>+Tabla1[[#This Row],[STOCK    FISICO ENERO 2021]]-Tabla1[[#This Row],[REQUISICIONES FEBRERO 2021]]</f>
        <v>0</v>
      </c>
      <c r="V342" s="121">
        <f>+Tabla1[[#This Row],[STOCK  FEBRERO 2021]]-Tabla1[[#This Row],[REQUISICIONES MARZO 2021]]+Tabla1[[#This Row],[ENTRADAS MARZO 2021]]</f>
        <v>0</v>
      </c>
      <c r="W342" s="183">
        <f>+Tabla1[[#This Row],[STOCK MARZO 2021]]-Tabla1[[#This Row],[REQUISICIONES ABRIL 2021]]+Tabla1[[#This Row],[ENTRADAS ABRIL 2021]]</f>
        <v>0</v>
      </c>
      <c r="X342" s="33">
        <f>+Tabla1[[#This Row],[STOCK ABRIL 2021]]-Tabla1[[#This Row],[REQUISICIONES MAYO 2021]]+Tabla1[[#This Row],[ENTRADAS MAYO 2021]]</f>
        <v>0</v>
      </c>
      <c r="Y342" s="33">
        <f>+Tabla1[[#This Row],[STOCK MAYO 2021]]-Tabla1[[#This Row],[REQUISICIONES JUNIO 2021]]+Tabla1[[#This Row],[ENTRADAS JUNIO 2021]]</f>
        <v>0</v>
      </c>
      <c r="Z342" s="30" t="s">
        <v>12</v>
      </c>
      <c r="AA342" s="122">
        <v>4594.2299999999996</v>
      </c>
      <c r="AB342" s="123">
        <f>+Tabla1[[#This Row],[COSTO UNITARIO SIN ITBIS]]*18%+Tabla1[[#This Row],[COSTO UNITARIO SIN ITBIS]]</f>
        <v>5421.1913999999997</v>
      </c>
      <c r="AC342" s="124">
        <f>Tabla1[[#This Row],[STOCK JUNIO ]]*Tabla1[[#This Row],[COSTO UNITARIO SIN ITBIS]]</f>
        <v>0</v>
      </c>
      <c r="AE342" s="184"/>
      <c r="AF342" s="184"/>
      <c r="AG342" s="184"/>
    </row>
    <row r="343" spans="1:33" s="8" customFormat="1" x14ac:dyDescent="0.25">
      <c r="A343" s="261">
        <v>5</v>
      </c>
      <c r="B343" s="117">
        <v>44312</v>
      </c>
      <c r="C343" s="174" t="s">
        <v>802</v>
      </c>
      <c r="D343" s="117">
        <v>44307</v>
      </c>
      <c r="E343" s="158" t="s">
        <v>801</v>
      </c>
      <c r="F343" s="179"/>
      <c r="G343" s="32" t="s">
        <v>807</v>
      </c>
      <c r="H343" s="172"/>
      <c r="I343" s="172"/>
      <c r="J343" s="120">
        <f>+'INVENTARIO ABRIL-JUNIO 2021'!$H343-'INVENTARIO ABRIL-JUNIO 2021'!$I343</f>
        <v>0</v>
      </c>
      <c r="K343" s="172"/>
      <c r="L343" s="172"/>
      <c r="M343" s="121">
        <v>2</v>
      </c>
      <c r="N343" s="121"/>
      <c r="O343" s="121"/>
      <c r="P343" s="172"/>
      <c r="Q343" s="172"/>
      <c r="R343" s="209">
        <v>2</v>
      </c>
      <c r="S343" s="172"/>
      <c r="T343" s="172"/>
      <c r="U343" s="121">
        <f>+Tabla1[[#This Row],[STOCK    FISICO ENERO 2021]]-Tabla1[[#This Row],[REQUISICIONES FEBRERO 2021]]</f>
        <v>0</v>
      </c>
      <c r="V343" s="121">
        <f>+Tabla1[[#This Row],[STOCK  FEBRERO 2021]]-Tabla1[[#This Row],[REQUISICIONES MARZO 2021]]+Tabla1[[#This Row],[ENTRADAS MARZO 2021]]</f>
        <v>0</v>
      </c>
      <c r="W343" s="183">
        <f>+Tabla1[[#This Row],[STOCK MARZO 2021]]-Tabla1[[#This Row],[REQUISICIONES ABRIL 2021]]+Tabla1[[#This Row],[ENTRADAS ABRIL 2021]]</f>
        <v>0</v>
      </c>
      <c r="X343" s="33">
        <f>+Tabla1[[#This Row],[STOCK ABRIL 2021]]-Tabla1[[#This Row],[REQUISICIONES MAYO 2021]]+Tabla1[[#This Row],[ENTRADAS MAYO 2021]]</f>
        <v>0</v>
      </c>
      <c r="Y343" s="33">
        <f>+Tabla1[[#This Row],[STOCK MAYO 2021]]-Tabla1[[#This Row],[REQUISICIONES JUNIO 2021]]+Tabla1[[#This Row],[ENTRADAS JUNIO 2021]]</f>
        <v>0</v>
      </c>
      <c r="Z343" s="30" t="s">
        <v>12</v>
      </c>
      <c r="AA343" s="122">
        <v>49684.65</v>
      </c>
      <c r="AB343" s="123">
        <f>+Tabla1[[#This Row],[COSTO UNITARIO SIN ITBIS]]*18%+Tabla1[[#This Row],[COSTO UNITARIO SIN ITBIS]]</f>
        <v>58627.887000000002</v>
      </c>
      <c r="AC343" s="124">
        <f>Tabla1[[#This Row],[STOCK JUNIO ]]*Tabla1[[#This Row],[COSTO UNITARIO SIN ITBIS]]</f>
        <v>0</v>
      </c>
      <c r="AE343" s="184"/>
      <c r="AF343" s="184"/>
      <c r="AG343" s="184"/>
    </row>
    <row r="344" spans="1:33" s="8" customFormat="1" x14ac:dyDescent="0.25">
      <c r="A344" s="261">
        <v>6</v>
      </c>
      <c r="B344" s="117">
        <v>44312</v>
      </c>
      <c r="C344" s="174" t="s">
        <v>802</v>
      </c>
      <c r="D344" s="117">
        <v>44307</v>
      </c>
      <c r="E344" s="158" t="s">
        <v>801</v>
      </c>
      <c r="F344" s="179"/>
      <c r="G344" s="32" t="s">
        <v>808</v>
      </c>
      <c r="H344" s="172"/>
      <c r="I344" s="172"/>
      <c r="J344" s="120">
        <f>+'INVENTARIO ABRIL-JUNIO 2021'!$H344-'INVENTARIO ABRIL-JUNIO 2021'!$I344</f>
        <v>0</v>
      </c>
      <c r="K344" s="172"/>
      <c r="L344" s="172"/>
      <c r="M344" s="121">
        <v>22</v>
      </c>
      <c r="N344" s="121"/>
      <c r="O344" s="121"/>
      <c r="P344" s="172"/>
      <c r="Q344" s="172"/>
      <c r="R344" s="209">
        <v>22</v>
      </c>
      <c r="S344" s="172"/>
      <c r="T344" s="172"/>
      <c r="U344" s="121">
        <f>+Tabla1[[#This Row],[STOCK    FISICO ENERO 2021]]-Tabla1[[#This Row],[REQUISICIONES FEBRERO 2021]]</f>
        <v>0</v>
      </c>
      <c r="V344" s="121">
        <f>+Tabla1[[#This Row],[STOCK  FEBRERO 2021]]-Tabla1[[#This Row],[REQUISICIONES MARZO 2021]]+Tabla1[[#This Row],[ENTRADAS MARZO 2021]]</f>
        <v>0</v>
      </c>
      <c r="W344" s="183">
        <f>+Tabla1[[#This Row],[STOCK MARZO 2021]]-Tabla1[[#This Row],[REQUISICIONES ABRIL 2021]]+Tabla1[[#This Row],[ENTRADAS ABRIL 2021]]</f>
        <v>0</v>
      </c>
      <c r="X344" s="33">
        <f>+Tabla1[[#This Row],[STOCK ABRIL 2021]]-Tabla1[[#This Row],[REQUISICIONES MAYO 2021]]+Tabla1[[#This Row],[ENTRADAS MAYO 2021]]</f>
        <v>0</v>
      </c>
      <c r="Y344" s="33">
        <f>+Tabla1[[#This Row],[STOCK MAYO 2021]]-Tabla1[[#This Row],[REQUISICIONES JUNIO 2021]]+Tabla1[[#This Row],[ENTRADAS JUNIO 2021]]</f>
        <v>0</v>
      </c>
      <c r="Z344" s="30" t="s">
        <v>12</v>
      </c>
      <c r="AA344" s="122">
        <v>1555.27</v>
      </c>
      <c r="AB344" s="123">
        <f>+Tabla1[[#This Row],[COSTO UNITARIO SIN ITBIS]]*18%+Tabla1[[#This Row],[COSTO UNITARIO SIN ITBIS]]</f>
        <v>1835.2185999999999</v>
      </c>
      <c r="AC344" s="124">
        <f>Tabla1[[#This Row],[STOCK JUNIO ]]*Tabla1[[#This Row],[COSTO UNITARIO SIN ITBIS]]</f>
        <v>0</v>
      </c>
      <c r="AE344" s="184"/>
      <c r="AF344" s="184"/>
      <c r="AG344" s="184"/>
    </row>
    <row r="345" spans="1:33" s="8" customFormat="1" x14ac:dyDescent="0.25">
      <c r="A345" s="261">
        <v>7</v>
      </c>
      <c r="B345" s="31">
        <v>44312</v>
      </c>
      <c r="C345" s="174" t="s">
        <v>802</v>
      </c>
      <c r="D345" s="117">
        <v>44307</v>
      </c>
      <c r="E345" s="158" t="s">
        <v>801</v>
      </c>
      <c r="F345" s="179"/>
      <c r="G345" s="32" t="s">
        <v>809</v>
      </c>
      <c r="H345" s="172"/>
      <c r="I345" s="172"/>
      <c r="J345" s="120">
        <f>+'INVENTARIO ABRIL-JUNIO 2021'!$H345-'INVENTARIO ABRIL-JUNIO 2021'!$I345</f>
        <v>0</v>
      </c>
      <c r="K345" s="172"/>
      <c r="L345" s="172"/>
      <c r="M345" s="121">
        <v>1</v>
      </c>
      <c r="N345" s="121"/>
      <c r="O345" s="121"/>
      <c r="P345" s="172"/>
      <c r="Q345" s="172"/>
      <c r="R345" s="209">
        <v>1</v>
      </c>
      <c r="S345" s="172"/>
      <c r="T345" s="172"/>
      <c r="U345" s="121">
        <f>+Tabla1[[#This Row],[STOCK    FISICO ENERO 2021]]-Tabla1[[#This Row],[REQUISICIONES FEBRERO 2021]]</f>
        <v>0</v>
      </c>
      <c r="V345" s="121">
        <f>+Tabla1[[#This Row],[STOCK  FEBRERO 2021]]-Tabla1[[#This Row],[REQUISICIONES MARZO 2021]]+Tabla1[[#This Row],[ENTRADAS MARZO 2021]]</f>
        <v>0</v>
      </c>
      <c r="W345" s="183">
        <f>+Tabla1[[#This Row],[STOCK MARZO 2021]]-Tabla1[[#This Row],[REQUISICIONES ABRIL 2021]]+Tabla1[[#This Row],[ENTRADAS ABRIL 2021]]</f>
        <v>0</v>
      </c>
      <c r="X345" s="33">
        <f>+Tabla1[[#This Row],[STOCK ABRIL 2021]]-Tabla1[[#This Row],[REQUISICIONES MAYO 2021]]+Tabla1[[#This Row],[ENTRADAS MAYO 2021]]</f>
        <v>0</v>
      </c>
      <c r="Y345" s="33">
        <f>+Tabla1[[#This Row],[STOCK MAYO 2021]]-Tabla1[[#This Row],[REQUISICIONES JUNIO 2021]]+Tabla1[[#This Row],[ENTRADAS JUNIO 2021]]</f>
        <v>0</v>
      </c>
      <c r="Z345" s="30" t="s">
        <v>12</v>
      </c>
      <c r="AA345" s="122">
        <v>7556.81</v>
      </c>
      <c r="AB345" s="123">
        <f>+Tabla1[[#This Row],[COSTO UNITARIO SIN ITBIS]]*18%+Tabla1[[#This Row],[COSTO UNITARIO SIN ITBIS]]</f>
        <v>8917.0357999999997</v>
      </c>
      <c r="AC345" s="124">
        <f>Tabla1[[#This Row],[STOCK JUNIO ]]*Tabla1[[#This Row],[COSTO UNITARIO SIN ITBIS]]</f>
        <v>0</v>
      </c>
      <c r="AE345" s="184"/>
      <c r="AF345" s="184"/>
      <c r="AG345" s="184"/>
    </row>
    <row r="346" spans="1:33" s="8" customFormat="1" x14ac:dyDescent="0.25">
      <c r="A346" s="261">
        <v>8</v>
      </c>
      <c r="B346" s="31">
        <v>44312</v>
      </c>
      <c r="C346" s="174" t="s">
        <v>802</v>
      </c>
      <c r="D346" s="117">
        <v>44308</v>
      </c>
      <c r="E346" s="158" t="s">
        <v>801</v>
      </c>
      <c r="F346" s="179"/>
      <c r="G346" s="32" t="s">
        <v>810</v>
      </c>
      <c r="H346" s="172"/>
      <c r="I346" s="172"/>
      <c r="J346" s="120">
        <f>+'INVENTARIO ABRIL-JUNIO 2021'!$H346-'INVENTARIO ABRIL-JUNIO 2021'!$I346</f>
        <v>0</v>
      </c>
      <c r="K346" s="172"/>
      <c r="L346" s="172"/>
      <c r="M346" s="121">
        <v>1</v>
      </c>
      <c r="N346" s="121"/>
      <c r="O346" s="121"/>
      <c r="P346" s="172"/>
      <c r="Q346" s="172"/>
      <c r="R346" s="209">
        <v>1</v>
      </c>
      <c r="S346" s="172"/>
      <c r="T346" s="172"/>
      <c r="U346" s="121">
        <f>+Tabla1[[#This Row],[STOCK    FISICO ENERO 2021]]-Tabla1[[#This Row],[REQUISICIONES FEBRERO 2021]]</f>
        <v>0</v>
      </c>
      <c r="V346" s="121">
        <f>+Tabla1[[#This Row],[STOCK  FEBRERO 2021]]-Tabla1[[#This Row],[REQUISICIONES MARZO 2021]]+Tabla1[[#This Row],[ENTRADAS MARZO 2021]]</f>
        <v>0</v>
      </c>
      <c r="W346" s="183">
        <f>+Tabla1[[#This Row],[STOCK MARZO 2021]]-Tabla1[[#This Row],[REQUISICIONES ABRIL 2021]]+Tabla1[[#This Row],[ENTRADAS ABRIL 2021]]</f>
        <v>0</v>
      </c>
      <c r="X346" s="33">
        <f>+Tabla1[[#This Row],[STOCK ABRIL 2021]]-Tabla1[[#This Row],[REQUISICIONES MAYO 2021]]+Tabla1[[#This Row],[ENTRADAS MAYO 2021]]</f>
        <v>0</v>
      </c>
      <c r="Y346" s="33">
        <f>+Tabla1[[#This Row],[STOCK MAYO 2021]]-Tabla1[[#This Row],[REQUISICIONES JUNIO 2021]]+Tabla1[[#This Row],[ENTRADAS JUNIO 2021]]</f>
        <v>0</v>
      </c>
      <c r="Z346" s="30" t="s">
        <v>12</v>
      </c>
      <c r="AA346" s="122">
        <v>23216.2</v>
      </c>
      <c r="AB346" s="123">
        <f>+Tabla1[[#This Row],[COSTO UNITARIO SIN ITBIS]]*18%+Tabla1[[#This Row],[COSTO UNITARIO SIN ITBIS]]</f>
        <v>27395.116000000002</v>
      </c>
      <c r="AC346" s="124">
        <f>Tabla1[[#This Row],[STOCK JUNIO ]]*Tabla1[[#This Row],[COSTO UNITARIO SIN ITBIS]]</f>
        <v>0</v>
      </c>
      <c r="AE346" s="184"/>
      <c r="AF346" s="184"/>
      <c r="AG346" s="184"/>
    </row>
    <row r="347" spans="1:33" s="8" customFormat="1" ht="24.75" x14ac:dyDescent="0.25">
      <c r="A347" s="261">
        <v>9</v>
      </c>
      <c r="B347" s="42">
        <v>44312</v>
      </c>
      <c r="C347" s="200" t="s">
        <v>802</v>
      </c>
      <c r="D347" s="201">
        <v>44308</v>
      </c>
      <c r="E347" s="198" t="s">
        <v>801</v>
      </c>
      <c r="F347" s="179"/>
      <c r="G347" s="32" t="s">
        <v>811</v>
      </c>
      <c r="H347" s="172"/>
      <c r="I347" s="172"/>
      <c r="J347" s="120">
        <f>+'INVENTARIO ABRIL-JUNIO 2021'!$H347-'INVENTARIO ABRIL-JUNIO 2021'!$I347</f>
        <v>0</v>
      </c>
      <c r="K347" s="172"/>
      <c r="L347" s="172"/>
      <c r="M347" s="121">
        <v>1</v>
      </c>
      <c r="N347" s="121"/>
      <c r="O347" s="121"/>
      <c r="P347" s="172"/>
      <c r="Q347" s="172"/>
      <c r="R347" s="209">
        <v>1</v>
      </c>
      <c r="S347" s="172"/>
      <c r="T347" s="172"/>
      <c r="U347" s="121">
        <f>+Tabla1[[#This Row],[STOCK    FISICO ENERO 2021]]-Tabla1[[#This Row],[REQUISICIONES FEBRERO 2021]]</f>
        <v>0</v>
      </c>
      <c r="V347" s="121">
        <f>+Tabla1[[#This Row],[STOCK  FEBRERO 2021]]-Tabla1[[#This Row],[REQUISICIONES MARZO 2021]]+Tabla1[[#This Row],[ENTRADAS MARZO 2021]]</f>
        <v>0</v>
      </c>
      <c r="W347" s="183">
        <f>+Tabla1[[#This Row],[STOCK MARZO 2021]]-Tabla1[[#This Row],[REQUISICIONES ABRIL 2021]]+Tabla1[[#This Row],[ENTRADAS ABRIL 2021]]</f>
        <v>0</v>
      </c>
      <c r="X347" s="33">
        <f>+Tabla1[[#This Row],[STOCK ABRIL 2021]]-Tabla1[[#This Row],[REQUISICIONES MAYO 2021]]+Tabla1[[#This Row],[ENTRADAS MAYO 2021]]</f>
        <v>0</v>
      </c>
      <c r="Y347" s="33">
        <f>+Tabla1[[#This Row],[STOCK MAYO 2021]]-Tabla1[[#This Row],[REQUISICIONES JUNIO 2021]]+Tabla1[[#This Row],[ENTRADAS JUNIO 2021]]</f>
        <v>0</v>
      </c>
      <c r="Z347" s="30" t="s">
        <v>12</v>
      </c>
      <c r="AA347" s="122">
        <v>68099.740000000005</v>
      </c>
      <c r="AB347" s="123">
        <f>+Tabla1[[#This Row],[COSTO UNITARIO SIN ITBIS]]*18%+Tabla1[[#This Row],[COSTO UNITARIO SIN ITBIS]]</f>
        <v>80357.693200000009</v>
      </c>
      <c r="AC347" s="124">
        <f>Tabla1[[#This Row],[STOCK JUNIO ]]*Tabla1[[#This Row],[COSTO UNITARIO SIN ITBIS]]</f>
        <v>0</v>
      </c>
      <c r="AE347" s="184"/>
      <c r="AF347" s="184"/>
      <c r="AG347" s="184"/>
    </row>
    <row r="348" spans="1:33" s="8" customFormat="1" x14ac:dyDescent="0.25">
      <c r="A348" s="261">
        <v>10</v>
      </c>
      <c r="B348" s="117">
        <v>44312</v>
      </c>
      <c r="C348" s="174" t="s">
        <v>802</v>
      </c>
      <c r="D348" s="117">
        <v>44308</v>
      </c>
      <c r="E348" s="158" t="s">
        <v>801</v>
      </c>
      <c r="F348" s="179"/>
      <c r="G348" s="32" t="s">
        <v>812</v>
      </c>
      <c r="H348" s="172"/>
      <c r="I348" s="172"/>
      <c r="J348" s="120">
        <f>+'INVENTARIO ABRIL-JUNIO 2021'!$H348-'INVENTARIO ABRIL-JUNIO 2021'!$I348</f>
        <v>0</v>
      </c>
      <c r="K348" s="172"/>
      <c r="L348" s="172"/>
      <c r="M348" s="121">
        <v>1</v>
      </c>
      <c r="N348" s="121"/>
      <c r="O348" s="121"/>
      <c r="P348" s="172"/>
      <c r="Q348" s="172"/>
      <c r="R348" s="209">
        <v>1</v>
      </c>
      <c r="S348" s="172"/>
      <c r="T348" s="172"/>
      <c r="U348" s="121">
        <f>+Tabla1[[#This Row],[STOCK    FISICO ENERO 2021]]-Tabla1[[#This Row],[REQUISICIONES FEBRERO 2021]]</f>
        <v>0</v>
      </c>
      <c r="V348" s="121">
        <f>+Tabla1[[#This Row],[STOCK  FEBRERO 2021]]-Tabla1[[#This Row],[REQUISICIONES MARZO 2021]]+Tabla1[[#This Row],[ENTRADAS MARZO 2021]]</f>
        <v>0</v>
      </c>
      <c r="W348" s="183">
        <f>+Tabla1[[#This Row],[STOCK MARZO 2021]]-Tabla1[[#This Row],[REQUISICIONES ABRIL 2021]]+Tabla1[[#This Row],[ENTRADAS ABRIL 2021]]</f>
        <v>0</v>
      </c>
      <c r="X348" s="33">
        <f>+Tabla1[[#This Row],[STOCK ABRIL 2021]]-Tabla1[[#This Row],[REQUISICIONES MAYO 2021]]+Tabla1[[#This Row],[ENTRADAS MAYO 2021]]</f>
        <v>0</v>
      </c>
      <c r="Y348" s="33">
        <f>+Tabla1[[#This Row],[STOCK MAYO 2021]]-Tabla1[[#This Row],[REQUISICIONES JUNIO 2021]]+Tabla1[[#This Row],[ENTRADAS JUNIO 2021]]</f>
        <v>0</v>
      </c>
      <c r="Z348" s="30" t="s">
        <v>12</v>
      </c>
      <c r="AA348" s="122">
        <v>15242.82</v>
      </c>
      <c r="AB348" s="123">
        <f>+Tabla1[[#This Row],[COSTO UNITARIO SIN ITBIS]]*18%+Tabla1[[#This Row],[COSTO UNITARIO SIN ITBIS]]</f>
        <v>17986.527600000001</v>
      </c>
      <c r="AC348" s="124">
        <f>Tabla1[[#This Row],[STOCK JUNIO ]]*Tabla1[[#This Row],[COSTO UNITARIO SIN ITBIS]]</f>
        <v>0</v>
      </c>
      <c r="AE348" s="184"/>
      <c r="AF348" s="184"/>
      <c r="AG348" s="184"/>
    </row>
    <row r="349" spans="1:33" s="9" customFormat="1" ht="27" customHeight="1" x14ac:dyDescent="0.25">
      <c r="A349" s="261">
        <v>11</v>
      </c>
      <c r="B349" s="201">
        <v>44312</v>
      </c>
      <c r="C349" s="200" t="s">
        <v>802</v>
      </c>
      <c r="D349" s="53">
        <v>44308</v>
      </c>
      <c r="E349" s="193" t="s">
        <v>801</v>
      </c>
      <c r="F349" s="180"/>
      <c r="G349" s="32" t="s">
        <v>813</v>
      </c>
      <c r="H349" s="177"/>
      <c r="I349" s="177"/>
      <c r="J349" s="120">
        <f>+'INVENTARIO ABRIL-JUNIO 2021'!$H349-'INVENTARIO ABRIL-JUNIO 2021'!$I349</f>
        <v>0</v>
      </c>
      <c r="K349" s="177"/>
      <c r="L349" s="177"/>
      <c r="M349" s="178">
        <v>1</v>
      </c>
      <c r="N349" s="178"/>
      <c r="O349" s="178"/>
      <c r="P349" s="177"/>
      <c r="Q349" s="177"/>
      <c r="R349" s="210">
        <v>1</v>
      </c>
      <c r="S349" s="177"/>
      <c r="T349" s="177"/>
      <c r="U349" s="178">
        <f>+Tabla1[[#This Row],[STOCK    FISICO ENERO 2021]]-Tabla1[[#This Row],[REQUISICIONES FEBRERO 2021]]</f>
        <v>0</v>
      </c>
      <c r="V349" s="178">
        <f>+Tabla1[[#This Row],[STOCK  FEBRERO 2021]]-Tabla1[[#This Row],[REQUISICIONES MARZO 2021]]+Tabla1[[#This Row],[ENTRADAS MARZO 2021]]</f>
        <v>0</v>
      </c>
      <c r="W349" s="183">
        <f>+Tabla1[[#This Row],[STOCK MARZO 2021]]-Tabla1[[#This Row],[REQUISICIONES ABRIL 2021]]+Tabla1[[#This Row],[ENTRADAS ABRIL 2021]]</f>
        <v>0</v>
      </c>
      <c r="X349" s="33">
        <f>+Tabla1[[#This Row],[STOCK ABRIL 2021]]-Tabla1[[#This Row],[REQUISICIONES MAYO 2021]]+Tabla1[[#This Row],[ENTRADAS MAYO 2021]]</f>
        <v>0</v>
      </c>
      <c r="Y349" s="33">
        <f>+Tabla1[[#This Row],[STOCK MAYO 2021]]-Tabla1[[#This Row],[REQUISICIONES JUNIO 2021]]+Tabla1[[#This Row],[ENTRADAS JUNIO 2021]]</f>
        <v>0</v>
      </c>
      <c r="Z349" s="30" t="s">
        <v>12</v>
      </c>
      <c r="AA349" s="41">
        <v>82491.62</v>
      </c>
      <c r="AB349" s="123">
        <f>+Tabla1[[#This Row],[COSTO UNITARIO SIN ITBIS]]*18%+Tabla1[[#This Row],[COSTO UNITARIO SIN ITBIS]]</f>
        <v>97340.111599999989</v>
      </c>
      <c r="AC349" s="124">
        <f>Tabla1[[#This Row],[STOCK JUNIO ]]*Tabla1[[#This Row],[COSTO UNITARIO SIN ITBIS]]</f>
        <v>0</v>
      </c>
      <c r="AE349" s="184"/>
      <c r="AF349" s="184"/>
      <c r="AG349" s="184"/>
    </row>
    <row r="350" spans="1:33" s="8" customFormat="1" ht="24.75" x14ac:dyDescent="0.25">
      <c r="A350" s="261">
        <v>12</v>
      </c>
      <c r="B350" s="31">
        <v>44313</v>
      </c>
      <c r="C350" s="174" t="s">
        <v>802</v>
      </c>
      <c r="D350" s="31">
        <v>44308</v>
      </c>
      <c r="E350" s="191" t="s">
        <v>801</v>
      </c>
      <c r="F350" s="181"/>
      <c r="G350" s="32" t="s">
        <v>826</v>
      </c>
      <c r="H350" s="175"/>
      <c r="I350" s="175"/>
      <c r="J350" s="120">
        <f>+'INVENTARIO ABRIL-JUNIO 2021'!$H350-'INVENTARIO ABRIL-JUNIO 2021'!$I350</f>
        <v>0</v>
      </c>
      <c r="K350" s="175"/>
      <c r="L350" s="175"/>
      <c r="M350" s="125">
        <v>1</v>
      </c>
      <c r="N350" s="125"/>
      <c r="O350" s="125"/>
      <c r="P350" s="175"/>
      <c r="Q350" s="175"/>
      <c r="R350" s="211">
        <v>1</v>
      </c>
      <c r="S350" s="175"/>
      <c r="T350" s="175"/>
      <c r="U350" s="125">
        <f>+Tabla1[[#This Row],[STOCK    FISICO ENERO 2021]]-Tabla1[[#This Row],[REQUISICIONES FEBRERO 2021]]</f>
        <v>0</v>
      </c>
      <c r="V350" s="125">
        <f>+Tabla1[[#This Row],[STOCK  FEBRERO 2021]]-Tabla1[[#This Row],[REQUISICIONES MARZO 2021]]+Tabla1[[#This Row],[ENTRADAS MARZO 2021]]</f>
        <v>0</v>
      </c>
      <c r="W350" s="183">
        <f>+Tabla1[[#This Row],[STOCK MARZO 2021]]-Tabla1[[#This Row],[REQUISICIONES ABRIL 2021]]+Tabla1[[#This Row],[ENTRADAS ABRIL 2021]]</f>
        <v>0</v>
      </c>
      <c r="X350" s="33">
        <f>+Tabla1[[#This Row],[STOCK ABRIL 2021]]-Tabla1[[#This Row],[REQUISICIONES MAYO 2021]]+Tabla1[[#This Row],[ENTRADAS MAYO 2021]]</f>
        <v>0</v>
      </c>
      <c r="Y350" s="33">
        <f>+Tabla1[[#This Row],[STOCK MAYO 2021]]-Tabla1[[#This Row],[REQUISICIONES JUNIO 2021]]+Tabla1[[#This Row],[ENTRADAS JUNIO 2021]]</f>
        <v>0</v>
      </c>
      <c r="Z350" s="30" t="s">
        <v>12</v>
      </c>
      <c r="AA350" s="34"/>
      <c r="AB350" s="123">
        <f>+Tabla1[[#This Row],[COSTO UNITARIO SIN ITBIS]]*18%+Tabla1[[#This Row],[COSTO UNITARIO SIN ITBIS]]</f>
        <v>0</v>
      </c>
      <c r="AC350" s="124">
        <f>Tabla1[[#This Row],[STOCK JUNIO ]]*Tabla1[[#This Row],[COSTO UNITARIO SIN ITBIS]]</f>
        <v>0</v>
      </c>
      <c r="AE350" s="184"/>
      <c r="AF350" s="184"/>
      <c r="AG350" s="184"/>
    </row>
    <row r="351" spans="1:33" s="9" customFormat="1" ht="60.75" x14ac:dyDescent="0.25">
      <c r="A351" s="261">
        <v>13</v>
      </c>
      <c r="B351" s="53">
        <v>44310</v>
      </c>
      <c r="C351" s="200" t="s">
        <v>802</v>
      </c>
      <c r="D351" s="53">
        <v>44308</v>
      </c>
      <c r="E351" s="193" t="s">
        <v>801</v>
      </c>
      <c r="F351" s="180"/>
      <c r="G351" s="32" t="s">
        <v>827</v>
      </c>
      <c r="H351" s="177"/>
      <c r="I351" s="177"/>
      <c r="J351" s="120">
        <f>+'INVENTARIO ABRIL-JUNIO 2021'!$H351-'INVENTARIO ABRIL-JUNIO 2021'!$I351</f>
        <v>0</v>
      </c>
      <c r="K351" s="177"/>
      <c r="L351" s="177"/>
      <c r="M351" s="199">
        <v>4</v>
      </c>
      <c r="N351" s="199"/>
      <c r="O351" s="199"/>
      <c r="P351" s="177"/>
      <c r="Q351" s="177"/>
      <c r="R351" s="210">
        <v>4</v>
      </c>
      <c r="S351" s="177"/>
      <c r="T351" s="177"/>
      <c r="U351" s="178">
        <f>+Tabla1[[#This Row],[STOCK    FISICO ENERO 2021]]-Tabla1[[#This Row],[REQUISICIONES FEBRERO 2021]]</f>
        <v>0</v>
      </c>
      <c r="V351" s="213">
        <f>+Tabla1[[#This Row],[STOCK  FEBRERO 2021]]-Tabla1[[#This Row],[REQUISICIONES MARZO 2021]]+Tabla1[[#This Row],[ENTRADAS MARZO 2021]]</f>
        <v>0</v>
      </c>
      <c r="W351" s="192">
        <f>+Tabla1[[#This Row],[STOCK MARZO 2021]]-Tabla1[[#This Row],[REQUISICIONES ABRIL 2021]]+Tabla1[[#This Row],[ENTRADAS ABRIL 2021]]</f>
        <v>0</v>
      </c>
      <c r="X351" s="33">
        <f>+Tabla1[[#This Row],[STOCK ABRIL 2021]]-Tabla1[[#This Row],[REQUISICIONES MAYO 2021]]+Tabla1[[#This Row],[ENTRADAS MAYO 2021]]</f>
        <v>0</v>
      </c>
      <c r="Y351" s="33">
        <f>+Tabla1[[#This Row],[STOCK MAYO 2021]]-Tabla1[[#This Row],[REQUISICIONES JUNIO 2021]]+Tabla1[[#This Row],[ENTRADAS JUNIO 2021]]</f>
        <v>0</v>
      </c>
      <c r="Z351" s="30" t="s">
        <v>12</v>
      </c>
      <c r="AA351" s="41"/>
      <c r="AB351" s="123">
        <f>+Tabla1[[#This Row],[COSTO UNITARIO SIN ITBIS]]*18%+Tabla1[[#This Row],[COSTO UNITARIO SIN ITBIS]]</f>
        <v>0</v>
      </c>
      <c r="AC351" s="124">
        <f>Tabla1[[#This Row],[STOCK JUNIO ]]*Tabla1[[#This Row],[COSTO UNITARIO SIN ITBIS]]</f>
        <v>0</v>
      </c>
      <c r="AE351" s="190"/>
      <c r="AF351" s="190"/>
      <c r="AG351" s="190"/>
    </row>
    <row r="352" spans="1:33" s="8" customFormat="1" ht="24.75" x14ac:dyDescent="0.25">
      <c r="A352" s="261">
        <v>14</v>
      </c>
      <c r="B352" s="42">
        <v>44313</v>
      </c>
      <c r="C352" s="200" t="s">
        <v>802</v>
      </c>
      <c r="D352" s="42">
        <v>44308</v>
      </c>
      <c r="E352" s="193" t="s">
        <v>801</v>
      </c>
      <c r="F352" s="179"/>
      <c r="G352" s="32" t="s">
        <v>828</v>
      </c>
      <c r="H352" s="172"/>
      <c r="I352" s="172"/>
      <c r="J352" s="120">
        <f>+'INVENTARIO ABRIL-JUNIO 2021'!$H352-'INVENTARIO ABRIL-JUNIO 2021'!$I352</f>
        <v>0</v>
      </c>
      <c r="K352" s="172"/>
      <c r="L352" s="172"/>
      <c r="M352" s="121">
        <v>1</v>
      </c>
      <c r="N352" s="121"/>
      <c r="O352" s="121"/>
      <c r="P352" s="172"/>
      <c r="Q352" s="172"/>
      <c r="R352" s="209">
        <v>1</v>
      </c>
      <c r="S352" s="172"/>
      <c r="T352" s="172"/>
      <c r="U352" s="121">
        <f>+Tabla1[[#This Row],[STOCK    FISICO ENERO 2021]]-Tabla1[[#This Row],[REQUISICIONES FEBRERO 2021]]</f>
        <v>0</v>
      </c>
      <c r="V352" s="214">
        <f>+Tabla1[[#This Row],[STOCK  FEBRERO 2021]]-Tabla1[[#This Row],[REQUISICIONES MARZO 2021]]+Tabla1[[#This Row],[ENTRADAS MARZO 2021]]</f>
        <v>0</v>
      </c>
      <c r="W352" s="212">
        <f>+Tabla1[[#This Row],[STOCK MARZO 2021]]-Tabla1[[#This Row],[REQUISICIONES ABRIL 2021]]+Tabla1[[#This Row],[ENTRADAS ABRIL 2021]]</f>
        <v>0</v>
      </c>
      <c r="X352" s="33">
        <f>+Tabla1[[#This Row],[STOCK ABRIL 2021]]-Tabla1[[#This Row],[REQUISICIONES MAYO 2021]]+Tabla1[[#This Row],[ENTRADAS MAYO 2021]]</f>
        <v>0</v>
      </c>
      <c r="Y352" s="33">
        <f>+Tabla1[[#This Row],[STOCK MAYO 2021]]-Tabla1[[#This Row],[REQUISICIONES JUNIO 2021]]+Tabla1[[#This Row],[ENTRADAS JUNIO 2021]]</f>
        <v>0</v>
      </c>
      <c r="Z352" s="30" t="s">
        <v>12</v>
      </c>
      <c r="AA352" s="122"/>
      <c r="AB352" s="123">
        <f>+Tabla1[[#This Row],[COSTO UNITARIO SIN ITBIS]]*18%+Tabla1[[#This Row],[COSTO UNITARIO SIN ITBIS]]</f>
        <v>0</v>
      </c>
      <c r="AC352" s="124">
        <f>Tabla1[[#This Row],[STOCK JUNIO ]]*Tabla1[[#This Row],[COSTO UNITARIO SIN ITBIS]]</f>
        <v>0</v>
      </c>
      <c r="AE352" s="184"/>
      <c r="AF352" s="184"/>
      <c r="AG352" s="184"/>
    </row>
    <row r="353" spans="1:33" s="8" customFormat="1" x14ac:dyDescent="0.25">
      <c r="A353" s="261">
        <v>15</v>
      </c>
      <c r="B353" s="70">
        <v>44323</v>
      </c>
      <c r="C353" s="189"/>
      <c r="D353" s="70">
        <v>44319</v>
      </c>
      <c r="E353" s="193" t="s">
        <v>801</v>
      </c>
      <c r="F353" s="179"/>
      <c r="G353" s="119" t="s">
        <v>842</v>
      </c>
      <c r="H353" s="172"/>
      <c r="I353" s="172"/>
      <c r="J353" s="120">
        <v>0</v>
      </c>
      <c r="K353" s="172"/>
      <c r="L353" s="172"/>
      <c r="M353" s="121"/>
      <c r="N353" s="121">
        <v>1</v>
      </c>
      <c r="O353" s="121"/>
      <c r="P353" s="172"/>
      <c r="Q353" s="172"/>
      <c r="R353" s="172"/>
      <c r="S353" s="121">
        <v>1</v>
      </c>
      <c r="T353" s="121"/>
      <c r="U353" s="121">
        <f>+Tabla1[[#This Row],[STOCK    FISICO ENERO 2021]]-Tabla1[[#This Row],[REQUISICIONES FEBRERO 2021]]</f>
        <v>0</v>
      </c>
      <c r="V353" s="214">
        <f>+Tabla1[[#This Row],[STOCK  FEBRERO 2021]]-Tabla1[[#This Row],[REQUISICIONES MARZO 2021]]+Tabla1[[#This Row],[ENTRADAS MARZO 2021]]</f>
        <v>0</v>
      </c>
      <c r="W353" s="212">
        <f>+Tabla1[[#This Row],[STOCK MARZO 2021]]-Tabla1[[#This Row],[REQUISICIONES ABRIL 2021]]+Tabla1[[#This Row],[ENTRADAS ABRIL 2021]]</f>
        <v>0</v>
      </c>
      <c r="X353" s="33">
        <f>+Tabla1[[#This Row],[STOCK ABRIL 2021]]-Tabla1[[#This Row],[REQUISICIONES MAYO 2021]]+Tabla1[[#This Row],[ENTRADAS MAYO 2021]]</f>
        <v>0</v>
      </c>
      <c r="Y353" s="33">
        <f>+Tabla1[[#This Row],[STOCK MAYO 2021]]-Tabla1[[#This Row],[REQUISICIONES JUNIO 2021]]+Tabla1[[#This Row],[ENTRADAS JUNIO 2021]]</f>
        <v>0</v>
      </c>
      <c r="Z353" s="30" t="s">
        <v>12</v>
      </c>
      <c r="AA353" s="122">
        <v>2247.79</v>
      </c>
      <c r="AB353" s="123">
        <f>+Tabla1[[#This Row],[COSTO UNITARIO SIN ITBIS]]*18%+Tabla1[[#This Row],[COSTO UNITARIO SIN ITBIS]]</f>
        <v>2652.3921999999998</v>
      </c>
      <c r="AC353" s="124">
        <f>Tabla1[[#This Row],[STOCK JUNIO ]]*Tabla1[[#This Row],[COSTO UNITARIO SIN ITBIS]]</f>
        <v>0</v>
      </c>
      <c r="AE353" s="184"/>
      <c r="AF353" s="184"/>
      <c r="AG353" s="184"/>
    </row>
    <row r="354" spans="1:33" s="8" customFormat="1" x14ac:dyDescent="0.25">
      <c r="A354" s="261">
        <v>16</v>
      </c>
      <c r="B354" s="117">
        <v>44323</v>
      </c>
      <c r="C354" s="189" t="s">
        <v>11</v>
      </c>
      <c r="D354" s="117">
        <v>44319</v>
      </c>
      <c r="E354" s="193" t="s">
        <v>801</v>
      </c>
      <c r="F354" s="179"/>
      <c r="G354" s="119" t="s">
        <v>868</v>
      </c>
      <c r="H354" s="172"/>
      <c r="I354" s="172"/>
      <c r="J354" s="120">
        <v>0</v>
      </c>
      <c r="K354" s="172"/>
      <c r="L354" s="172"/>
      <c r="M354" s="121"/>
      <c r="N354" s="126">
        <v>1</v>
      </c>
      <c r="O354" s="121"/>
      <c r="P354" s="172"/>
      <c r="Q354" s="172"/>
      <c r="R354" s="172"/>
      <c r="S354" s="121">
        <v>1</v>
      </c>
      <c r="T354" s="121"/>
      <c r="U354" s="214">
        <f>+Tabla1[[#This Row],[STOCK    FISICO ENERO 2021]]-Tabla1[[#This Row],[REQUISICIONES FEBRERO 2021]]</f>
        <v>0</v>
      </c>
      <c r="V354" s="214">
        <f>+Tabla1[[#This Row],[STOCK  FEBRERO 2021]]-Tabla1[[#This Row],[REQUISICIONES MARZO 2021]]+Tabla1[[#This Row],[ENTRADAS MARZO 2021]]</f>
        <v>0</v>
      </c>
      <c r="W354" s="212">
        <f>+Tabla1[[#This Row],[STOCK MARZO 2021]]-Tabla1[[#This Row],[REQUISICIONES ABRIL 2021]]+Tabla1[[#This Row],[ENTRADAS ABRIL 2021]]</f>
        <v>0</v>
      </c>
      <c r="X354" s="183">
        <f>+Tabla1[[#This Row],[STOCK ABRIL 2021]]-Tabla1[[#This Row],[REQUISICIONES MAYO 2021]]+Tabla1[[#This Row],[ENTRADAS MAYO 2021]]</f>
        <v>0</v>
      </c>
      <c r="Y354" s="183">
        <f>+Tabla1[[#This Row],[STOCK MAYO 2021]]-Tabla1[[#This Row],[REQUISICIONES JUNIO 2021]]+Tabla1[[#This Row],[ENTRADAS JUNIO 2021]]</f>
        <v>0</v>
      </c>
      <c r="Z354" s="91" t="s">
        <v>12</v>
      </c>
      <c r="AA354" s="122">
        <v>60640.12</v>
      </c>
      <c r="AB354" s="123">
        <f>+Tabla1[[#This Row],[COSTO UNITARIO SIN ITBIS]]*18%+Tabla1[[#This Row],[COSTO UNITARIO SIN ITBIS]]</f>
        <v>71555.3416</v>
      </c>
      <c r="AC354" s="124">
        <f>Tabla1[[#This Row],[STOCK JUNIO ]]*Tabla1[[#This Row],[COSTO UNITARIO SIN ITBIS]]</f>
        <v>0</v>
      </c>
      <c r="AE354" s="184"/>
      <c r="AF354" s="184"/>
      <c r="AG354" s="184"/>
    </row>
    <row r="355" spans="1:33" s="8" customFormat="1" x14ac:dyDescent="0.25">
      <c r="A355" s="261">
        <v>17</v>
      </c>
      <c r="B355" s="222">
        <v>44343</v>
      </c>
      <c r="C355" s="200" t="s">
        <v>802</v>
      </c>
      <c r="D355" s="222">
        <v>44336</v>
      </c>
      <c r="E355" s="223" t="s">
        <v>882</v>
      </c>
      <c r="F355" s="231"/>
      <c r="G355" s="224" t="s">
        <v>883</v>
      </c>
      <c r="H355" s="225"/>
      <c r="I355" s="225"/>
      <c r="J355" s="226">
        <f>+'INVENTARIO ABRIL-JUNIO 2021'!$H355-'INVENTARIO ABRIL-JUNIO 2021'!$I355</f>
        <v>0</v>
      </c>
      <c r="K355" s="225"/>
      <c r="L355" s="225"/>
      <c r="M355" s="227"/>
      <c r="N355" s="228">
        <v>25</v>
      </c>
      <c r="O355" s="227"/>
      <c r="P355" s="225"/>
      <c r="Q355" s="225"/>
      <c r="R355" s="225"/>
      <c r="S355" s="227">
        <f>24+1</f>
        <v>25</v>
      </c>
      <c r="T355" s="227"/>
      <c r="U355" s="316">
        <f>+Tabla1[[#This Row],[STOCK    FISICO ENERO 2021]]-Tabla1[[#This Row],[REQUISICIONES FEBRERO 2021]]</f>
        <v>0</v>
      </c>
      <c r="V355" s="316">
        <f>+Tabla1[[#This Row],[STOCK  FEBRERO 2021]]-Tabla1[[#This Row],[REQUISICIONES MARZO 2021]]+Tabla1[[#This Row],[ENTRADAS MARZO 2021]]</f>
        <v>0</v>
      </c>
      <c r="W355" s="212">
        <f>+Tabla1[[#This Row],[STOCK MARZO 2021]]-Tabla1[[#This Row],[REQUISICIONES ABRIL 2021]]+Tabla1[[#This Row],[ENTRADAS ABRIL 2021]]</f>
        <v>0</v>
      </c>
      <c r="X355" s="212">
        <f>+Tabla1[[#This Row],[STOCK ABRIL 2021]]-Tabla1[[#This Row],[REQUISICIONES MAYO 2021]]+Tabla1[[#This Row],[ENTRADAS MAYO 2021]]</f>
        <v>0</v>
      </c>
      <c r="Y355" s="212">
        <f>+Tabla1[[#This Row],[STOCK MAYO 2021]]-Tabla1[[#This Row],[REQUISICIONES JUNIO 2021]]+Tabla1[[#This Row],[ENTRADAS JUNIO 2021]]</f>
        <v>0</v>
      </c>
      <c r="Z355" s="91" t="s">
        <v>12</v>
      </c>
      <c r="AA355" s="229">
        <v>0</v>
      </c>
      <c r="AB355" s="230">
        <v>0</v>
      </c>
      <c r="AC355" s="124">
        <f>Tabla1[[#This Row],[STOCK JUNIO ]]*Tabla1[[#This Row],[COSTO UNITARIO SIN ITBIS]]</f>
        <v>0</v>
      </c>
      <c r="AE355" s="184"/>
      <c r="AF355" s="184"/>
      <c r="AG355" s="184"/>
    </row>
    <row r="356" spans="1:33" s="12" customFormat="1" x14ac:dyDescent="0.25">
      <c r="A356" s="261">
        <v>18</v>
      </c>
      <c r="B356" s="222">
        <v>44343</v>
      </c>
      <c r="C356" s="189" t="s">
        <v>11</v>
      </c>
      <c r="D356" s="222">
        <v>44336</v>
      </c>
      <c r="E356" s="223" t="s">
        <v>882</v>
      </c>
      <c r="F356" s="234"/>
      <c r="G356" s="235" t="s">
        <v>885</v>
      </c>
      <c r="H356" s="225"/>
      <c r="I356" s="225"/>
      <c r="J356" s="226">
        <f>+'INVENTARIO ABRIL-JUNIO 2021'!$H356-'INVENTARIO ABRIL-JUNIO 2021'!$I356</f>
        <v>0</v>
      </c>
      <c r="K356" s="225"/>
      <c r="L356" s="225"/>
      <c r="M356" s="227"/>
      <c r="N356" s="228">
        <v>25</v>
      </c>
      <c r="O356" s="227"/>
      <c r="P356" s="225"/>
      <c r="Q356" s="225"/>
      <c r="R356" s="225"/>
      <c r="S356" s="227">
        <v>25</v>
      </c>
      <c r="T356" s="227"/>
      <c r="U356" s="316">
        <f>+Tabla1[[#This Row],[STOCK    FISICO ENERO 2021]]-Tabla1[[#This Row],[REQUISICIONES FEBRERO 2021]]</f>
        <v>0</v>
      </c>
      <c r="V356" s="316">
        <f>+Tabla1[[#This Row],[STOCK  FEBRERO 2021]]-Tabla1[[#This Row],[REQUISICIONES MARZO 2021]]+Tabla1[[#This Row],[ENTRADAS MARZO 2021]]</f>
        <v>0</v>
      </c>
      <c r="W356" s="212">
        <f>+Tabla1[[#This Row],[STOCK MARZO 2021]]-Tabla1[[#This Row],[REQUISICIONES ABRIL 2021]]+Tabla1[[#This Row],[ENTRADAS ABRIL 2021]]</f>
        <v>0</v>
      </c>
      <c r="X356" s="212">
        <f>+Tabla1[[#This Row],[STOCK ABRIL 2021]]-Tabla1[[#This Row],[REQUISICIONES MAYO 2021]]+Tabla1[[#This Row],[ENTRADAS MAYO 2021]]</f>
        <v>0</v>
      </c>
      <c r="Y356" s="212">
        <f>+Tabla1[[#This Row],[STOCK MAYO 2021]]-Tabla1[[#This Row],[REQUISICIONES JUNIO 2021]]+Tabla1[[#This Row],[ENTRADAS JUNIO 2021]]</f>
        <v>0</v>
      </c>
      <c r="Z356" s="91" t="s">
        <v>12</v>
      </c>
      <c r="AA356" s="229">
        <v>0</v>
      </c>
      <c r="AB356" s="236"/>
      <c r="AC356" s="124">
        <f>Tabla1[[#This Row],[STOCK JUNIO ]]*Tabla1[[#This Row],[COSTO UNITARIO SIN ITBIS]]</f>
        <v>0</v>
      </c>
      <c r="AE356" s="237"/>
      <c r="AF356" s="237"/>
      <c r="AG356" s="237"/>
    </row>
    <row r="357" spans="1:33" s="8" customFormat="1" x14ac:dyDescent="0.25">
      <c r="A357" s="261">
        <v>19</v>
      </c>
      <c r="B357" s="222">
        <v>44343</v>
      </c>
      <c r="C357" s="174" t="s">
        <v>11</v>
      </c>
      <c r="D357" s="222">
        <v>44336</v>
      </c>
      <c r="E357" s="223" t="s">
        <v>882</v>
      </c>
      <c r="F357" s="234"/>
      <c r="G357" s="224" t="s">
        <v>886</v>
      </c>
      <c r="H357" s="225"/>
      <c r="I357" s="225"/>
      <c r="J357" s="226">
        <f>+'INVENTARIO ABRIL-JUNIO 2021'!$H357-'INVENTARIO ABRIL-JUNIO 2021'!$I357</f>
        <v>0</v>
      </c>
      <c r="K357" s="225"/>
      <c r="L357" s="225"/>
      <c r="M357" s="227"/>
      <c r="N357" s="228">
        <v>25</v>
      </c>
      <c r="O357" s="227"/>
      <c r="P357" s="225"/>
      <c r="Q357" s="225"/>
      <c r="R357" s="225"/>
      <c r="S357" s="227">
        <v>25</v>
      </c>
      <c r="T357" s="227"/>
      <c r="U357" s="316">
        <f>+Tabla1[[#This Row],[STOCK    FISICO ENERO 2021]]-Tabla1[[#This Row],[REQUISICIONES FEBRERO 2021]]</f>
        <v>0</v>
      </c>
      <c r="V357" s="316">
        <f>+Tabla1[[#This Row],[STOCK  FEBRERO 2021]]-Tabla1[[#This Row],[REQUISICIONES MARZO 2021]]+Tabla1[[#This Row],[ENTRADAS MARZO 2021]]</f>
        <v>0</v>
      </c>
      <c r="W357" s="212">
        <f>+Tabla1[[#This Row],[STOCK MARZO 2021]]-Tabla1[[#This Row],[REQUISICIONES ABRIL 2021]]+Tabla1[[#This Row],[ENTRADAS ABRIL 2021]]</f>
        <v>0</v>
      </c>
      <c r="X357" s="212">
        <f>+Tabla1[[#This Row],[STOCK ABRIL 2021]]-Tabla1[[#This Row],[REQUISICIONES MAYO 2021]]+Tabla1[[#This Row],[ENTRADAS MAYO 2021]]</f>
        <v>0</v>
      </c>
      <c r="Y357" s="212">
        <f>+Tabla1[[#This Row],[STOCK MAYO 2021]]-Tabla1[[#This Row],[REQUISICIONES JUNIO 2021]]+Tabla1[[#This Row],[ENTRADAS JUNIO 2021]]</f>
        <v>0</v>
      </c>
      <c r="Z357" s="91" t="s">
        <v>12</v>
      </c>
      <c r="AA357" s="229">
        <v>0</v>
      </c>
      <c r="AB357" s="230"/>
      <c r="AC357" s="124">
        <f>Tabla1[[#This Row],[STOCK JUNIO ]]*Tabla1[[#This Row],[COSTO UNITARIO SIN ITBIS]]</f>
        <v>0</v>
      </c>
      <c r="AE357" s="184"/>
      <c r="AF357" s="184"/>
      <c r="AG357" s="184"/>
    </row>
    <row r="358" spans="1:33" s="8" customFormat="1" x14ac:dyDescent="0.25">
      <c r="A358" s="261">
        <v>20</v>
      </c>
      <c r="B358" s="310">
        <v>44332</v>
      </c>
      <c r="C358" s="200" t="s">
        <v>802</v>
      </c>
      <c r="D358" s="243">
        <v>44349</v>
      </c>
      <c r="E358" s="249" t="s">
        <v>907</v>
      </c>
      <c r="F358" s="280"/>
      <c r="G358" s="312" t="s">
        <v>908</v>
      </c>
      <c r="H358" s="255"/>
      <c r="I358" s="255"/>
      <c r="J358" s="245">
        <f>+'INVENTARIO ABRIL-JUNIO 2021'!$H358-'INVENTARIO ABRIL-JUNIO 2021'!$I358</f>
        <v>0</v>
      </c>
      <c r="K358" s="255"/>
      <c r="L358" s="255"/>
      <c r="M358" s="247"/>
      <c r="N358" s="246"/>
      <c r="O358" s="247">
        <v>3</v>
      </c>
      <c r="P358" s="255"/>
      <c r="Q358" s="255"/>
      <c r="R358" s="255"/>
      <c r="S358" s="247"/>
      <c r="T358" s="247"/>
      <c r="U358" s="284">
        <f>+Tabla1[[#This Row],[STOCK    FISICO ENERO 2021]]-Tabla1[[#This Row],[REQUISICIONES FEBRERO 2021]]</f>
        <v>0</v>
      </c>
      <c r="V358" s="284">
        <f>+Tabla1[[#This Row],[STOCK  FEBRERO 2021]]-Tabla1[[#This Row],[REQUISICIONES MARZO 2021]]+Tabla1[[#This Row],[ENTRADAS MARZO 2021]]</f>
        <v>0</v>
      </c>
      <c r="W358" s="212">
        <f>+Tabla1[[#This Row],[STOCK MARZO 2021]]-Tabla1[[#This Row],[REQUISICIONES ABRIL 2021]]+Tabla1[[#This Row],[ENTRADAS ABRIL 2021]]</f>
        <v>0</v>
      </c>
      <c r="X358" s="212">
        <f>+Tabla1[[#This Row],[STOCK ABRIL 2021]]-Tabla1[[#This Row],[REQUISICIONES MAYO 2021]]+Tabla1[[#This Row],[ENTRADAS MAYO 2021]]</f>
        <v>0</v>
      </c>
      <c r="Y358" s="212">
        <f>+Tabla1[[#This Row],[STOCK MAYO 2021]]-Tabla1[[#This Row],[REQUISICIONES JUNIO 2021]]+Tabla1[[#This Row],[ENTRADAS JUNIO 2021]]</f>
        <v>3</v>
      </c>
      <c r="Z358" s="91" t="s">
        <v>12</v>
      </c>
      <c r="AA358" s="248">
        <v>0</v>
      </c>
      <c r="AB358" s="252"/>
      <c r="AC358" s="253">
        <f>J358*AA358</f>
        <v>0</v>
      </c>
      <c r="AE358" s="184"/>
      <c r="AF358" s="184"/>
      <c r="AG358" s="184"/>
    </row>
    <row r="359" spans="1:33" s="8" customFormat="1" ht="15.75" thickBot="1" x14ac:dyDescent="0.3">
      <c r="A359" s="57"/>
      <c r="B359" s="56"/>
      <c r="C359" s="56"/>
      <c r="D359" s="56"/>
      <c r="E359" s="141"/>
      <c r="F359" s="56"/>
      <c r="G359" s="56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30"/>
      <c r="AA359" s="58"/>
      <c r="AB359" s="58" t="s">
        <v>814</v>
      </c>
      <c r="AC359" s="93"/>
      <c r="AE359" s="184"/>
      <c r="AF359" s="184"/>
      <c r="AG359" s="184"/>
    </row>
    <row r="360" spans="1:33" s="8" customFormat="1" ht="15.75" thickTop="1" x14ac:dyDescent="0.25">
      <c r="A360" s="262" t="s">
        <v>223</v>
      </c>
      <c r="B360" s="61"/>
      <c r="C360" s="61"/>
      <c r="D360" s="61"/>
      <c r="E360" s="96"/>
      <c r="F360" s="61"/>
      <c r="G360" s="61"/>
      <c r="H360" s="61"/>
      <c r="I360" s="61"/>
      <c r="J360" s="61"/>
      <c r="K360" s="61"/>
      <c r="L360" s="61"/>
      <c r="M360" s="61"/>
      <c r="N360" s="61"/>
      <c r="O360" s="262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96"/>
    </row>
    <row r="361" spans="1:33" s="8" customFormat="1" x14ac:dyDescent="0.25">
      <c r="A361" s="261">
        <v>1</v>
      </c>
      <c r="B361" s="31">
        <v>44168</v>
      </c>
      <c r="C361" s="28" t="s">
        <v>11</v>
      </c>
      <c r="D361" s="31">
        <v>44152</v>
      </c>
      <c r="E361" s="137"/>
      <c r="F361" s="28">
        <v>1288</v>
      </c>
      <c r="G361" s="32" t="s">
        <v>224</v>
      </c>
      <c r="H361" s="63">
        <v>0</v>
      </c>
      <c r="I361" s="63"/>
      <c r="J361" s="63">
        <f>+'INVENTARIO ABRIL-JUNIO 2021'!$H361-'INVENTARIO ABRIL-JUNIO 2021'!$I361</f>
        <v>0</v>
      </c>
      <c r="K361" s="63"/>
      <c r="L361" s="63"/>
      <c r="M361" s="63"/>
      <c r="N361" s="63"/>
      <c r="O361" s="125"/>
      <c r="P361" s="63"/>
      <c r="Q361" s="63"/>
      <c r="R361" s="63"/>
      <c r="S361" s="63"/>
      <c r="T361" s="63"/>
      <c r="U361" s="63">
        <f>+Tabla1[[#This Row],[STOCK    FISICO ENERO 2021]]-Tabla1[[#This Row],[REQUISICIONES FEBRERO 2021]]</f>
        <v>0</v>
      </c>
      <c r="V361" s="63">
        <f>+Tabla1[[#This Row],[STOCK  FEBRERO 2021]]-Tabla1[[#This Row],[REQUISICIONES MARZO 2021]]+Tabla1[[#This Row],[ENTRADAS MARZO 2021]]</f>
        <v>0</v>
      </c>
      <c r="W361" s="63">
        <f>+Tabla1[[#This Row],[STOCK MARZO 2021]]-Tabla1[[#This Row],[REQUISICIONES ABRIL 2021]]+Tabla1[[#This Row],[ENTRADAS ABRIL 2021]]</f>
        <v>0</v>
      </c>
      <c r="X361" s="63">
        <f>+Tabla1[[#This Row],[STOCK ABRIL 2021]]-Tabla1[[#This Row],[REQUISICIONES MAYO 2021]]+Tabla1[[#This Row],[ENTRADAS MAYO 2021]]</f>
        <v>0</v>
      </c>
      <c r="Y361" s="63">
        <f>+Tabla1[[#This Row],[STOCK MAYO 2021]]-Tabla1[[#This Row],[REQUISICIONES JUNIO 2021]]+Tabla1[[#This Row],[ENTRADAS JUNIO 2021]]</f>
        <v>0</v>
      </c>
      <c r="Z361" s="30" t="s">
        <v>12</v>
      </c>
      <c r="AA361" s="34">
        <v>94</v>
      </c>
      <c r="AB361" s="35">
        <f>AA361*0.18+AA361</f>
        <v>110.92</v>
      </c>
      <c r="AC361" s="93">
        <f>Tabla1[[#This Row],[STOCK JUNIO ]]*Tabla1[[#This Row],[COSTO UNITARIO SIN ITBIS]]</f>
        <v>0</v>
      </c>
    </row>
    <row r="362" spans="1:33" s="10" customFormat="1" x14ac:dyDescent="0.25">
      <c r="A362" s="261">
        <v>2</v>
      </c>
      <c r="B362" s="31">
        <v>44168</v>
      </c>
      <c r="C362" s="28" t="s">
        <v>11</v>
      </c>
      <c r="D362" s="31">
        <v>44153</v>
      </c>
      <c r="E362" s="137"/>
      <c r="F362" s="28">
        <v>1633</v>
      </c>
      <c r="G362" s="32" t="s">
        <v>225</v>
      </c>
      <c r="H362" s="63">
        <v>0</v>
      </c>
      <c r="I362" s="63"/>
      <c r="J362" s="63">
        <f>+'INVENTARIO ABRIL-JUNIO 2021'!$H362-'INVENTARIO ABRIL-JUNIO 2021'!$I362</f>
        <v>0</v>
      </c>
      <c r="K362" s="63"/>
      <c r="L362" s="63"/>
      <c r="M362" s="63"/>
      <c r="N362" s="63"/>
      <c r="O362" s="125"/>
      <c r="P362" s="63"/>
      <c r="Q362" s="63"/>
      <c r="R362" s="63"/>
      <c r="S362" s="63"/>
      <c r="T362" s="63"/>
      <c r="U362" s="63">
        <f>+Tabla1[[#This Row],[STOCK    FISICO ENERO 2021]]-Tabla1[[#This Row],[REQUISICIONES FEBRERO 2021]]</f>
        <v>0</v>
      </c>
      <c r="V362" s="63">
        <f>+Tabla1[[#This Row],[STOCK  FEBRERO 2021]]-Tabla1[[#This Row],[REQUISICIONES MARZO 2021]]+Tabla1[[#This Row],[ENTRADAS MARZO 2021]]</f>
        <v>0</v>
      </c>
      <c r="W362" s="63">
        <f>+Tabla1[[#This Row],[STOCK MARZO 2021]]-Tabla1[[#This Row],[REQUISICIONES ABRIL 2021]]+Tabla1[[#This Row],[ENTRADAS ABRIL 2021]]</f>
        <v>0</v>
      </c>
      <c r="X362" s="63">
        <f>+Tabla1[[#This Row],[STOCK ABRIL 2021]]-Tabla1[[#This Row],[REQUISICIONES MAYO 2021]]+Tabla1[[#This Row],[ENTRADAS MAYO 2021]]</f>
        <v>0</v>
      </c>
      <c r="Y362" s="63">
        <f>+Tabla1[[#This Row],[STOCK MAYO 2021]]-Tabla1[[#This Row],[REQUISICIONES JUNIO 2021]]+Tabla1[[#This Row],[ENTRADAS JUNIO 2021]]</f>
        <v>0</v>
      </c>
      <c r="Z362" s="30" t="s">
        <v>226</v>
      </c>
      <c r="AA362" s="34">
        <v>2593.2199999999998</v>
      </c>
      <c r="AB362" s="35">
        <f t="shared" ref="AB362:AB392" si="12">AA362*0.18+AA362</f>
        <v>3059.9995999999996</v>
      </c>
      <c r="AC362" s="93">
        <f>Tabla1[[#This Row],[STOCK JUNIO ]]*Tabla1[[#This Row],[COSTO UNITARIO SIN ITBIS]]</f>
        <v>0</v>
      </c>
    </row>
    <row r="363" spans="1:33" s="8" customFormat="1" x14ac:dyDescent="0.25">
      <c r="A363" s="261">
        <v>3</v>
      </c>
      <c r="B363" s="31">
        <v>44168</v>
      </c>
      <c r="C363" s="28" t="s">
        <v>11</v>
      </c>
      <c r="D363" s="31">
        <v>44153</v>
      </c>
      <c r="E363" s="137"/>
      <c r="F363" s="28">
        <v>1634</v>
      </c>
      <c r="G363" s="32" t="s">
        <v>227</v>
      </c>
      <c r="H363" s="63">
        <v>459</v>
      </c>
      <c r="I363" s="63"/>
      <c r="J363" s="63">
        <f>+'INVENTARIO ABRIL-JUNIO 2021'!$H363-'INVENTARIO ABRIL-JUNIO 2021'!$I363</f>
        <v>459</v>
      </c>
      <c r="K363" s="63"/>
      <c r="L363" s="63"/>
      <c r="M363" s="63"/>
      <c r="N363" s="63"/>
      <c r="O363" s="125"/>
      <c r="P363" s="63">
        <f>100+30</f>
        <v>130</v>
      </c>
      <c r="Q363" s="63"/>
      <c r="R363" s="63">
        <f>50+15+30</f>
        <v>95</v>
      </c>
      <c r="S363" s="63">
        <f>40+20+38</f>
        <v>98</v>
      </c>
      <c r="T363" s="63"/>
      <c r="U363" s="63">
        <f>+Tabla1[[#This Row],[STOCK    FISICO ENERO 2021]]-Tabla1[[#This Row],[REQUISICIONES FEBRERO 2021]]</f>
        <v>329</v>
      </c>
      <c r="V363" s="63">
        <f>+Tabla1[[#This Row],[STOCK  FEBRERO 2021]]-Tabla1[[#This Row],[REQUISICIONES MARZO 2021]]+Tabla1[[#This Row],[ENTRADAS MARZO 2021]]</f>
        <v>329</v>
      </c>
      <c r="W363" s="63">
        <f>+Tabla1[[#This Row],[STOCK MARZO 2021]]-Tabla1[[#This Row],[REQUISICIONES ABRIL 2021]]+Tabla1[[#This Row],[ENTRADAS ABRIL 2021]]</f>
        <v>234</v>
      </c>
      <c r="X363" s="63">
        <f>+Tabla1[[#This Row],[STOCK ABRIL 2021]]-Tabla1[[#This Row],[REQUISICIONES MAYO 2021]]+Tabla1[[#This Row],[ENTRADAS MAYO 2021]]</f>
        <v>136</v>
      </c>
      <c r="Y363" s="63">
        <f>+Tabla1[[#This Row],[STOCK MAYO 2021]]-Tabla1[[#This Row],[REQUISICIONES JUNIO 2021]]+Tabla1[[#This Row],[ENTRADAS JUNIO 2021]]</f>
        <v>136</v>
      </c>
      <c r="Z363" s="30" t="s">
        <v>630</v>
      </c>
      <c r="AA363" s="34">
        <f>5593.22/500</f>
        <v>11.186440000000001</v>
      </c>
      <c r="AB363" s="35">
        <f t="shared" si="12"/>
        <v>13.199999200000001</v>
      </c>
      <c r="AC363" s="93">
        <f>Tabla1[[#This Row],[STOCK JUNIO ]]*Tabla1[[#This Row],[COSTO UNITARIO SIN ITBIS]]</f>
        <v>1521.3558400000002</v>
      </c>
    </row>
    <row r="364" spans="1:33" s="8" customFormat="1" ht="16.5" customHeight="1" x14ac:dyDescent="0.25">
      <c r="A364" s="261">
        <v>4</v>
      </c>
      <c r="B364" s="31">
        <v>44168</v>
      </c>
      <c r="C364" s="28" t="s">
        <v>11</v>
      </c>
      <c r="D364" s="31">
        <v>44154</v>
      </c>
      <c r="E364" s="137"/>
      <c r="F364" s="28">
        <v>1621</v>
      </c>
      <c r="G364" s="32" t="s">
        <v>228</v>
      </c>
      <c r="H364" s="63">
        <v>84</v>
      </c>
      <c r="I364" s="63"/>
      <c r="J364" s="63">
        <f>+'INVENTARIO ABRIL-JUNIO 2021'!$H364-'INVENTARIO ABRIL-JUNIO 2021'!$I364</f>
        <v>84</v>
      </c>
      <c r="K364" s="63"/>
      <c r="L364" s="63"/>
      <c r="M364" s="63"/>
      <c r="N364" s="63"/>
      <c r="O364" s="125"/>
      <c r="P364" s="63"/>
      <c r="Q364" s="63">
        <v>84</v>
      </c>
      <c r="R364" s="63"/>
      <c r="S364" s="63"/>
      <c r="T364" s="63"/>
      <c r="U364" s="63">
        <f>+Tabla1[[#This Row],[STOCK    FISICO ENERO 2021]]-Tabla1[[#This Row],[REQUISICIONES FEBRERO 2021]]</f>
        <v>84</v>
      </c>
      <c r="V364" s="63">
        <f>+Tabla1[[#This Row],[STOCK  FEBRERO 2021]]-Tabla1[[#This Row],[REQUISICIONES MARZO 2021]]+Tabla1[[#This Row],[ENTRADAS MARZO 2021]]</f>
        <v>0</v>
      </c>
      <c r="W364" s="63">
        <f>+Tabla1[[#This Row],[STOCK MARZO 2021]]-Tabla1[[#This Row],[REQUISICIONES ABRIL 2021]]+Tabla1[[#This Row],[ENTRADAS ABRIL 2021]]</f>
        <v>0</v>
      </c>
      <c r="X364" s="63">
        <f>+Tabla1[[#This Row],[STOCK ABRIL 2021]]-Tabla1[[#This Row],[REQUISICIONES MAYO 2021]]+Tabla1[[#This Row],[ENTRADAS MAYO 2021]]</f>
        <v>0</v>
      </c>
      <c r="Y364" s="63">
        <f>+Tabla1[[#This Row],[STOCK MAYO 2021]]-Tabla1[[#This Row],[REQUISICIONES JUNIO 2021]]+Tabla1[[#This Row],[ENTRADAS JUNIO 2021]]</f>
        <v>0</v>
      </c>
      <c r="Z364" s="30" t="s">
        <v>630</v>
      </c>
      <c r="AA364" s="34">
        <v>52</v>
      </c>
      <c r="AB364" s="35">
        <f t="shared" si="12"/>
        <v>61.36</v>
      </c>
      <c r="AC364" s="93">
        <f>Tabla1[[#This Row],[STOCK JUNIO ]]*Tabla1[[#This Row],[COSTO UNITARIO SIN ITBIS]]</f>
        <v>0</v>
      </c>
    </row>
    <row r="365" spans="1:33" s="8" customFormat="1" ht="16.5" customHeight="1" x14ac:dyDescent="0.25">
      <c r="A365" s="261">
        <v>5</v>
      </c>
      <c r="B365" s="31">
        <v>44168</v>
      </c>
      <c r="C365" s="28" t="s">
        <v>11</v>
      </c>
      <c r="D365" s="31">
        <v>44154</v>
      </c>
      <c r="E365" s="137"/>
      <c r="F365" s="28">
        <v>1459</v>
      </c>
      <c r="G365" s="32" t="s">
        <v>229</v>
      </c>
      <c r="H365" s="63">
        <v>200</v>
      </c>
      <c r="I365" s="63"/>
      <c r="J365" s="63">
        <f>+'INVENTARIO ABRIL-JUNIO 2021'!$H365-'INVENTARIO ABRIL-JUNIO 2021'!$I365</f>
        <v>200</v>
      </c>
      <c r="K365" s="63"/>
      <c r="L365" s="63"/>
      <c r="M365" s="63"/>
      <c r="N365" s="63"/>
      <c r="O365" s="125"/>
      <c r="P365" s="63"/>
      <c r="Q365" s="63"/>
      <c r="R365" s="63"/>
      <c r="S365" s="63"/>
      <c r="T365" s="63"/>
      <c r="U365" s="63">
        <f>+Tabla1[[#This Row],[STOCK    FISICO ENERO 2021]]-Tabla1[[#This Row],[REQUISICIONES FEBRERO 2021]]</f>
        <v>200</v>
      </c>
      <c r="V365" s="63">
        <f>+Tabla1[[#This Row],[STOCK  FEBRERO 2021]]-Tabla1[[#This Row],[REQUISICIONES MARZO 2021]]+Tabla1[[#This Row],[ENTRADAS MARZO 2021]]</f>
        <v>200</v>
      </c>
      <c r="W365" s="63">
        <f>+Tabla1[[#This Row],[STOCK MARZO 2021]]-Tabla1[[#This Row],[REQUISICIONES ABRIL 2021]]+Tabla1[[#This Row],[ENTRADAS ABRIL 2021]]</f>
        <v>200</v>
      </c>
      <c r="X365" s="63">
        <f>+Tabla1[[#This Row],[STOCK ABRIL 2021]]-Tabla1[[#This Row],[REQUISICIONES MAYO 2021]]+Tabla1[[#This Row],[ENTRADAS MAYO 2021]]</f>
        <v>200</v>
      </c>
      <c r="Y365" s="63">
        <f>+Tabla1[[#This Row],[STOCK MAYO 2021]]-Tabla1[[#This Row],[REQUISICIONES JUNIO 2021]]+Tabla1[[#This Row],[ENTRADAS JUNIO 2021]]</f>
        <v>200</v>
      </c>
      <c r="Z365" s="30" t="s">
        <v>230</v>
      </c>
      <c r="AA365" s="34">
        <v>12.36</v>
      </c>
      <c r="AB365" s="35">
        <f t="shared" si="12"/>
        <v>14.5848</v>
      </c>
      <c r="AC365" s="93">
        <f>Tabla1[[#This Row],[STOCK JUNIO ]]*Tabla1[[#This Row],[COSTO UNITARIO SIN ITBIS]]</f>
        <v>2472</v>
      </c>
    </row>
    <row r="366" spans="1:33" s="8" customFormat="1" ht="16.5" customHeight="1" x14ac:dyDescent="0.25">
      <c r="A366" s="261">
        <v>6</v>
      </c>
      <c r="B366" s="31">
        <v>44168</v>
      </c>
      <c r="C366" s="28" t="s">
        <v>11</v>
      </c>
      <c r="D366" s="31">
        <v>44155</v>
      </c>
      <c r="E366" s="137"/>
      <c r="F366" s="28"/>
      <c r="G366" s="32" t="s">
        <v>231</v>
      </c>
      <c r="H366" s="63">
        <v>200</v>
      </c>
      <c r="I366" s="63"/>
      <c r="J366" s="63">
        <f>+'INVENTARIO ABRIL-JUNIO 2021'!$H366-'INVENTARIO ABRIL-JUNIO 2021'!$I366</f>
        <v>200</v>
      </c>
      <c r="K366" s="63"/>
      <c r="L366" s="63"/>
      <c r="M366" s="63"/>
      <c r="N366" s="63"/>
      <c r="O366" s="125"/>
      <c r="P366" s="63"/>
      <c r="Q366" s="63"/>
      <c r="R366" s="63"/>
      <c r="S366" s="63"/>
      <c r="T366" s="63"/>
      <c r="U366" s="63">
        <f>+Tabla1[[#This Row],[STOCK    FISICO ENERO 2021]]-Tabla1[[#This Row],[REQUISICIONES FEBRERO 2021]]</f>
        <v>200</v>
      </c>
      <c r="V366" s="63">
        <f>+Tabla1[[#This Row],[STOCK  FEBRERO 2021]]-Tabla1[[#This Row],[REQUISICIONES MARZO 2021]]+Tabla1[[#This Row],[ENTRADAS MARZO 2021]]</f>
        <v>200</v>
      </c>
      <c r="W366" s="63">
        <f>+Tabla1[[#This Row],[STOCK MARZO 2021]]-Tabla1[[#This Row],[REQUISICIONES ABRIL 2021]]+Tabla1[[#This Row],[ENTRADAS ABRIL 2021]]</f>
        <v>200</v>
      </c>
      <c r="X366" s="63">
        <f>+Tabla1[[#This Row],[STOCK ABRIL 2021]]-Tabla1[[#This Row],[REQUISICIONES MAYO 2021]]+Tabla1[[#This Row],[ENTRADAS MAYO 2021]]</f>
        <v>200</v>
      </c>
      <c r="Y366" s="63">
        <f>+Tabla1[[#This Row],[STOCK MAYO 2021]]-Tabla1[[#This Row],[REQUISICIONES JUNIO 2021]]+Tabla1[[#This Row],[ENTRADAS JUNIO 2021]]</f>
        <v>200</v>
      </c>
      <c r="Z366" s="30" t="s">
        <v>230</v>
      </c>
      <c r="AA366" s="34">
        <v>0</v>
      </c>
      <c r="AB366" s="35">
        <f t="shared" si="12"/>
        <v>0</v>
      </c>
      <c r="AC366" s="93">
        <f>Tabla1[[#This Row],[STOCK JUNIO ]]*Tabla1[[#This Row],[COSTO UNITARIO SIN ITBIS]]</f>
        <v>0</v>
      </c>
    </row>
    <row r="367" spans="1:33" s="8" customFormat="1" ht="16.5" customHeight="1" x14ac:dyDescent="0.25">
      <c r="A367" s="261">
        <v>7</v>
      </c>
      <c r="B367" s="31">
        <v>44168</v>
      </c>
      <c r="C367" s="28" t="s">
        <v>11</v>
      </c>
      <c r="D367" s="31">
        <v>44155</v>
      </c>
      <c r="E367" s="137"/>
      <c r="F367" s="28">
        <v>1460</v>
      </c>
      <c r="G367" s="32" t="s">
        <v>232</v>
      </c>
      <c r="H367" s="63">
        <v>0</v>
      </c>
      <c r="I367" s="63"/>
      <c r="J367" s="63">
        <f>+'INVENTARIO ABRIL-JUNIO 2021'!$H367-'INVENTARIO ABRIL-JUNIO 2021'!$I367</f>
        <v>0</v>
      </c>
      <c r="K367" s="63"/>
      <c r="L367" s="63"/>
      <c r="M367" s="63"/>
      <c r="N367" s="63"/>
      <c r="O367" s="125"/>
      <c r="P367" s="63"/>
      <c r="Q367" s="63"/>
      <c r="R367" s="63"/>
      <c r="S367" s="63"/>
      <c r="T367" s="63"/>
      <c r="U367" s="63">
        <f>+Tabla1[[#This Row],[STOCK    FISICO ENERO 2021]]-Tabla1[[#This Row],[REQUISICIONES FEBRERO 2021]]</f>
        <v>0</v>
      </c>
      <c r="V367" s="63">
        <f>+Tabla1[[#This Row],[STOCK  FEBRERO 2021]]-Tabla1[[#This Row],[REQUISICIONES MARZO 2021]]+Tabla1[[#This Row],[ENTRADAS MARZO 2021]]</f>
        <v>0</v>
      </c>
      <c r="W367" s="63">
        <f>+Tabla1[[#This Row],[STOCK MARZO 2021]]-Tabla1[[#This Row],[REQUISICIONES ABRIL 2021]]+Tabla1[[#This Row],[ENTRADAS ABRIL 2021]]</f>
        <v>0</v>
      </c>
      <c r="X367" s="63">
        <f>+Tabla1[[#This Row],[STOCK ABRIL 2021]]-Tabla1[[#This Row],[REQUISICIONES MAYO 2021]]+Tabla1[[#This Row],[ENTRADAS MAYO 2021]]</f>
        <v>0</v>
      </c>
      <c r="Y367" s="63">
        <f>+Tabla1[[#This Row],[STOCK MAYO 2021]]-Tabla1[[#This Row],[REQUISICIONES JUNIO 2021]]+Tabla1[[#This Row],[ENTRADAS JUNIO 2021]]</f>
        <v>0</v>
      </c>
      <c r="Z367" s="30" t="s">
        <v>230</v>
      </c>
      <c r="AA367" s="34">
        <v>12.36</v>
      </c>
      <c r="AB367" s="35">
        <f t="shared" si="12"/>
        <v>14.5848</v>
      </c>
      <c r="AC367" s="93">
        <f>Tabla1[[#This Row],[STOCK JUNIO ]]*Tabla1[[#This Row],[COSTO UNITARIO SIN ITBIS]]</f>
        <v>0</v>
      </c>
    </row>
    <row r="368" spans="1:33" s="8" customFormat="1" ht="16.5" customHeight="1" x14ac:dyDescent="0.25">
      <c r="A368" s="261">
        <v>8</v>
      </c>
      <c r="B368" s="31">
        <v>44168</v>
      </c>
      <c r="C368" s="28" t="s">
        <v>11</v>
      </c>
      <c r="D368" s="31">
        <v>44155</v>
      </c>
      <c r="E368" s="137"/>
      <c r="F368" s="28"/>
      <c r="G368" s="32" t="s">
        <v>233</v>
      </c>
      <c r="H368" s="63">
        <v>0</v>
      </c>
      <c r="I368" s="63"/>
      <c r="J368" s="63">
        <f>+'INVENTARIO ABRIL-JUNIO 2021'!$H368-'INVENTARIO ABRIL-JUNIO 2021'!$I368</f>
        <v>0</v>
      </c>
      <c r="K368" s="63"/>
      <c r="L368" s="63"/>
      <c r="M368" s="63"/>
      <c r="N368" s="63"/>
      <c r="O368" s="125"/>
      <c r="P368" s="63"/>
      <c r="Q368" s="63"/>
      <c r="R368" s="63"/>
      <c r="S368" s="63"/>
      <c r="T368" s="63"/>
      <c r="U368" s="63">
        <f>+Tabla1[[#This Row],[STOCK    FISICO ENERO 2021]]-Tabla1[[#This Row],[REQUISICIONES FEBRERO 2021]]</f>
        <v>0</v>
      </c>
      <c r="V368" s="63">
        <f>+Tabla1[[#This Row],[STOCK  FEBRERO 2021]]-Tabla1[[#This Row],[REQUISICIONES MARZO 2021]]+Tabla1[[#This Row],[ENTRADAS MARZO 2021]]</f>
        <v>0</v>
      </c>
      <c r="W368" s="63">
        <f>+Tabla1[[#This Row],[STOCK MARZO 2021]]-Tabla1[[#This Row],[REQUISICIONES ABRIL 2021]]+Tabla1[[#This Row],[ENTRADAS ABRIL 2021]]</f>
        <v>0</v>
      </c>
      <c r="X368" s="63">
        <f>+Tabla1[[#This Row],[STOCK ABRIL 2021]]-Tabla1[[#This Row],[REQUISICIONES MAYO 2021]]+Tabla1[[#This Row],[ENTRADAS MAYO 2021]]</f>
        <v>0</v>
      </c>
      <c r="Y368" s="63">
        <f>+Tabla1[[#This Row],[STOCK MAYO 2021]]-Tabla1[[#This Row],[REQUISICIONES JUNIO 2021]]+Tabla1[[#This Row],[ENTRADAS JUNIO 2021]]</f>
        <v>0</v>
      </c>
      <c r="Z368" s="30" t="s">
        <v>230</v>
      </c>
      <c r="AA368" s="34">
        <v>15.34</v>
      </c>
      <c r="AB368" s="35">
        <f t="shared" si="12"/>
        <v>18.101199999999999</v>
      </c>
      <c r="AC368" s="93">
        <f>Tabla1[[#This Row],[STOCK JUNIO ]]*Tabla1[[#This Row],[COSTO UNITARIO SIN ITBIS]]</f>
        <v>0</v>
      </c>
    </row>
    <row r="369" spans="1:29" s="8" customFormat="1" ht="16.5" customHeight="1" x14ac:dyDescent="0.25">
      <c r="A369" s="261">
        <v>9</v>
      </c>
      <c r="B369" s="31">
        <v>44137</v>
      </c>
      <c r="C369" s="28" t="s">
        <v>11</v>
      </c>
      <c r="D369" s="31">
        <v>44161</v>
      </c>
      <c r="E369" s="143"/>
      <c r="F369" s="69">
        <v>1624</v>
      </c>
      <c r="G369" s="32" t="s">
        <v>234</v>
      </c>
      <c r="H369" s="63">
        <v>0</v>
      </c>
      <c r="I369" s="63"/>
      <c r="J369" s="63">
        <f>+'INVENTARIO ABRIL-JUNIO 2021'!$H369-'INVENTARIO ABRIL-JUNIO 2021'!$I369</f>
        <v>0</v>
      </c>
      <c r="K369" s="63"/>
      <c r="L369" s="63"/>
      <c r="M369" s="63"/>
      <c r="N369" s="63"/>
      <c r="O369" s="125"/>
      <c r="P369" s="63"/>
      <c r="Q369" s="63"/>
      <c r="R369" s="63"/>
      <c r="S369" s="63"/>
      <c r="T369" s="63"/>
      <c r="U369" s="63">
        <f>+Tabla1[[#This Row],[STOCK    FISICO ENERO 2021]]-Tabla1[[#This Row],[REQUISICIONES FEBRERO 2021]]</f>
        <v>0</v>
      </c>
      <c r="V369" s="63">
        <f>+Tabla1[[#This Row],[STOCK  FEBRERO 2021]]-Tabla1[[#This Row],[REQUISICIONES MARZO 2021]]+Tabla1[[#This Row],[ENTRADAS MARZO 2021]]</f>
        <v>0</v>
      </c>
      <c r="W369" s="63">
        <f>+Tabla1[[#This Row],[STOCK MARZO 2021]]-Tabla1[[#This Row],[REQUISICIONES ABRIL 2021]]+Tabla1[[#This Row],[ENTRADAS ABRIL 2021]]</f>
        <v>0</v>
      </c>
      <c r="X369" s="63">
        <f>+Tabla1[[#This Row],[STOCK ABRIL 2021]]-Tabla1[[#This Row],[REQUISICIONES MAYO 2021]]+Tabla1[[#This Row],[ENTRADAS MAYO 2021]]</f>
        <v>0</v>
      </c>
      <c r="Y369" s="63">
        <f>+Tabla1[[#This Row],[STOCK MAYO 2021]]-Tabla1[[#This Row],[REQUISICIONES JUNIO 2021]]+Tabla1[[#This Row],[ENTRADAS JUNIO 2021]]</f>
        <v>0</v>
      </c>
      <c r="Z369" s="30" t="s">
        <v>230</v>
      </c>
      <c r="AA369" s="34">
        <v>7.5</v>
      </c>
      <c r="AB369" s="35">
        <f t="shared" si="12"/>
        <v>8.85</v>
      </c>
      <c r="AC369" s="93">
        <f>Tabla1[[#This Row],[STOCK JUNIO ]]*Tabla1[[#This Row],[COSTO UNITARIO SIN ITBIS]]</f>
        <v>0</v>
      </c>
    </row>
    <row r="370" spans="1:29" s="8" customFormat="1" ht="16.5" customHeight="1" x14ac:dyDescent="0.25">
      <c r="A370" s="261">
        <v>10</v>
      </c>
      <c r="B370" s="31">
        <v>43223</v>
      </c>
      <c r="C370" s="28" t="s">
        <v>11</v>
      </c>
      <c r="D370" s="31">
        <v>43223</v>
      </c>
      <c r="E370" s="137"/>
      <c r="F370" s="28">
        <v>1623</v>
      </c>
      <c r="G370" s="32" t="s">
        <v>235</v>
      </c>
      <c r="H370" s="63">
        <v>122</v>
      </c>
      <c r="I370" s="63"/>
      <c r="J370" s="63">
        <f>+'INVENTARIO ABRIL-JUNIO 2021'!$H370-'INVENTARIO ABRIL-JUNIO 2021'!$I370</f>
        <v>122</v>
      </c>
      <c r="K370" s="63"/>
      <c r="L370" s="63"/>
      <c r="M370" s="63"/>
      <c r="N370" s="63"/>
      <c r="O370" s="125"/>
      <c r="P370" s="63"/>
      <c r="Q370" s="63"/>
      <c r="R370" s="63"/>
      <c r="S370" s="63"/>
      <c r="T370" s="63"/>
      <c r="U370" s="63">
        <f>+Tabla1[[#This Row],[STOCK    FISICO ENERO 2021]]-Tabla1[[#This Row],[REQUISICIONES FEBRERO 2021]]</f>
        <v>122</v>
      </c>
      <c r="V370" s="63">
        <f>+Tabla1[[#This Row],[STOCK  FEBRERO 2021]]-Tabla1[[#This Row],[REQUISICIONES MARZO 2021]]+Tabla1[[#This Row],[ENTRADAS MARZO 2021]]</f>
        <v>122</v>
      </c>
      <c r="W370" s="63">
        <f>+Tabla1[[#This Row],[STOCK MARZO 2021]]-Tabla1[[#This Row],[REQUISICIONES ABRIL 2021]]+Tabla1[[#This Row],[ENTRADAS ABRIL 2021]]</f>
        <v>122</v>
      </c>
      <c r="X370" s="63">
        <f>+Tabla1[[#This Row],[STOCK ABRIL 2021]]-Tabla1[[#This Row],[REQUISICIONES MAYO 2021]]+Tabla1[[#This Row],[ENTRADAS MAYO 2021]]</f>
        <v>122</v>
      </c>
      <c r="Y370" s="63">
        <f>+Tabla1[[#This Row],[STOCK MAYO 2021]]-Tabla1[[#This Row],[REQUISICIONES JUNIO 2021]]+Tabla1[[#This Row],[ENTRADAS JUNIO 2021]]</f>
        <v>122</v>
      </c>
      <c r="Z370" s="30" t="s">
        <v>230</v>
      </c>
      <c r="AA370" s="34">
        <v>7.5</v>
      </c>
      <c r="AB370" s="35">
        <f t="shared" si="12"/>
        <v>8.85</v>
      </c>
      <c r="AC370" s="93">
        <f>Tabla1[[#This Row],[STOCK JUNIO ]]*Tabla1[[#This Row],[COSTO UNITARIO SIN ITBIS]]</f>
        <v>915</v>
      </c>
    </row>
    <row r="371" spans="1:29" s="8" customFormat="1" x14ac:dyDescent="0.25">
      <c r="A371" s="261">
        <v>11</v>
      </c>
      <c r="B371" s="31">
        <v>43223</v>
      </c>
      <c r="C371" s="28" t="s">
        <v>11</v>
      </c>
      <c r="D371" s="31">
        <v>43223</v>
      </c>
      <c r="E371" s="137"/>
      <c r="F371" s="28">
        <v>1625</v>
      </c>
      <c r="G371" s="32" t="s">
        <v>236</v>
      </c>
      <c r="H371" s="63">
        <v>200</v>
      </c>
      <c r="I371" s="63"/>
      <c r="J371" s="63">
        <f>+'INVENTARIO ABRIL-JUNIO 2021'!$H371-'INVENTARIO ABRIL-JUNIO 2021'!$I371</f>
        <v>200</v>
      </c>
      <c r="K371" s="63"/>
      <c r="L371" s="63"/>
      <c r="M371" s="63"/>
      <c r="N371" s="63"/>
      <c r="O371" s="125"/>
      <c r="P371" s="63"/>
      <c r="Q371" s="63">
        <f>25+60+40</f>
        <v>125</v>
      </c>
      <c r="R371" s="63">
        <v>40</v>
      </c>
      <c r="S371" s="63"/>
      <c r="T371" s="63">
        <v>35</v>
      </c>
      <c r="U371" s="63">
        <f>+Tabla1[[#This Row],[STOCK    FISICO ENERO 2021]]-Tabla1[[#This Row],[REQUISICIONES FEBRERO 2021]]</f>
        <v>200</v>
      </c>
      <c r="V371" s="63">
        <f>+Tabla1[[#This Row],[STOCK  FEBRERO 2021]]-Tabla1[[#This Row],[REQUISICIONES MARZO 2021]]+Tabla1[[#This Row],[ENTRADAS MARZO 2021]]</f>
        <v>75</v>
      </c>
      <c r="W371" s="63">
        <f>+Tabla1[[#This Row],[STOCK MARZO 2021]]-Tabla1[[#This Row],[REQUISICIONES ABRIL 2021]]+Tabla1[[#This Row],[ENTRADAS ABRIL 2021]]</f>
        <v>35</v>
      </c>
      <c r="X371" s="63">
        <f>+Tabla1[[#This Row],[STOCK ABRIL 2021]]-Tabla1[[#This Row],[REQUISICIONES MAYO 2021]]+Tabla1[[#This Row],[ENTRADAS MAYO 2021]]</f>
        <v>35</v>
      </c>
      <c r="Y371" s="63">
        <f>+Tabla1[[#This Row],[STOCK MAYO 2021]]-Tabla1[[#This Row],[REQUISICIONES JUNIO 2021]]+Tabla1[[#This Row],[ENTRADAS JUNIO 2021]]</f>
        <v>0</v>
      </c>
      <c r="Z371" s="30" t="s">
        <v>230</v>
      </c>
      <c r="AA371" s="34">
        <v>5</v>
      </c>
      <c r="AB371" s="35">
        <f t="shared" si="12"/>
        <v>5.9</v>
      </c>
      <c r="AC371" s="93">
        <f>Tabla1[[#This Row],[STOCK JUNIO ]]*Tabla1[[#This Row],[COSTO UNITARIO SIN ITBIS]]</f>
        <v>0</v>
      </c>
    </row>
    <row r="372" spans="1:29" s="8" customFormat="1" ht="16.5" customHeight="1" x14ac:dyDescent="0.25">
      <c r="A372" s="261">
        <v>12</v>
      </c>
      <c r="B372" s="31">
        <v>44026</v>
      </c>
      <c r="C372" s="28" t="s">
        <v>11</v>
      </c>
      <c r="D372" s="31">
        <v>44026</v>
      </c>
      <c r="E372" s="137"/>
      <c r="F372" s="28"/>
      <c r="G372" s="32" t="s">
        <v>237</v>
      </c>
      <c r="H372" s="63">
        <v>200</v>
      </c>
      <c r="I372" s="63"/>
      <c r="J372" s="63">
        <f>+'INVENTARIO ABRIL-JUNIO 2021'!$H372-'INVENTARIO ABRIL-JUNIO 2021'!$I372</f>
        <v>200</v>
      </c>
      <c r="K372" s="63"/>
      <c r="L372" s="63"/>
      <c r="M372" s="63"/>
      <c r="N372" s="63"/>
      <c r="O372" s="125"/>
      <c r="P372" s="63"/>
      <c r="Q372" s="63"/>
      <c r="R372" s="63"/>
      <c r="S372" s="63"/>
      <c r="T372" s="63"/>
      <c r="U372" s="63">
        <f>+Tabla1[[#This Row],[STOCK    FISICO ENERO 2021]]-Tabla1[[#This Row],[REQUISICIONES FEBRERO 2021]]</f>
        <v>200</v>
      </c>
      <c r="V372" s="63">
        <f>+Tabla1[[#This Row],[STOCK  FEBRERO 2021]]-Tabla1[[#This Row],[REQUISICIONES MARZO 2021]]+Tabla1[[#This Row],[ENTRADAS MARZO 2021]]</f>
        <v>200</v>
      </c>
      <c r="W372" s="63">
        <f>+Tabla1[[#This Row],[STOCK MARZO 2021]]-Tabla1[[#This Row],[REQUISICIONES ABRIL 2021]]+Tabla1[[#This Row],[ENTRADAS ABRIL 2021]]</f>
        <v>200</v>
      </c>
      <c r="X372" s="63">
        <f>+Tabla1[[#This Row],[STOCK ABRIL 2021]]-Tabla1[[#This Row],[REQUISICIONES MAYO 2021]]+Tabla1[[#This Row],[ENTRADAS MAYO 2021]]</f>
        <v>200</v>
      </c>
      <c r="Y372" s="63">
        <f>+Tabla1[[#This Row],[STOCK MAYO 2021]]-Tabla1[[#This Row],[REQUISICIONES JUNIO 2021]]+Tabla1[[#This Row],[ENTRADAS JUNIO 2021]]</f>
        <v>200</v>
      </c>
      <c r="Z372" s="30" t="s">
        <v>105</v>
      </c>
      <c r="AA372" s="34">
        <v>100.25</v>
      </c>
      <c r="AB372" s="35">
        <f t="shared" si="12"/>
        <v>118.295</v>
      </c>
      <c r="AC372" s="93">
        <f>Tabla1[[#This Row],[STOCK JUNIO ]]*Tabla1[[#This Row],[COSTO UNITARIO SIN ITBIS]]</f>
        <v>20050</v>
      </c>
    </row>
    <row r="373" spans="1:29" s="8" customFormat="1" x14ac:dyDescent="0.25">
      <c r="A373" s="261">
        <v>13</v>
      </c>
      <c r="B373" s="31">
        <v>44026</v>
      </c>
      <c r="C373" s="28" t="s">
        <v>11</v>
      </c>
      <c r="D373" s="31">
        <v>44026</v>
      </c>
      <c r="E373" s="137"/>
      <c r="F373" s="28">
        <v>1643</v>
      </c>
      <c r="G373" s="32" t="s">
        <v>238</v>
      </c>
      <c r="H373" s="63">
        <v>0</v>
      </c>
      <c r="I373" s="63"/>
      <c r="J373" s="63">
        <f>+'INVENTARIO ABRIL-JUNIO 2021'!$H373-'INVENTARIO ABRIL-JUNIO 2021'!$I373</f>
        <v>0</v>
      </c>
      <c r="K373" s="63"/>
      <c r="L373" s="63"/>
      <c r="M373" s="63"/>
      <c r="N373" s="63"/>
      <c r="O373" s="125"/>
      <c r="P373" s="63"/>
      <c r="Q373" s="63"/>
      <c r="R373" s="63"/>
      <c r="S373" s="63"/>
      <c r="T373" s="63"/>
      <c r="U373" s="63">
        <f>+Tabla1[[#This Row],[STOCK    FISICO ENERO 2021]]-Tabla1[[#This Row],[REQUISICIONES FEBRERO 2021]]</f>
        <v>0</v>
      </c>
      <c r="V373" s="63">
        <f>+Tabla1[[#This Row],[STOCK  FEBRERO 2021]]-Tabla1[[#This Row],[REQUISICIONES MARZO 2021]]+Tabla1[[#This Row],[ENTRADAS MARZO 2021]]</f>
        <v>0</v>
      </c>
      <c r="W373" s="63">
        <f>+Tabla1[[#This Row],[STOCK MARZO 2021]]-Tabla1[[#This Row],[REQUISICIONES ABRIL 2021]]+Tabla1[[#This Row],[ENTRADAS ABRIL 2021]]</f>
        <v>0</v>
      </c>
      <c r="X373" s="63">
        <f>+Tabla1[[#This Row],[STOCK ABRIL 2021]]-Tabla1[[#This Row],[REQUISICIONES MAYO 2021]]+Tabla1[[#This Row],[ENTRADAS MAYO 2021]]</f>
        <v>0</v>
      </c>
      <c r="Y373" s="63">
        <f>+Tabla1[[#This Row],[STOCK MAYO 2021]]-Tabla1[[#This Row],[REQUISICIONES JUNIO 2021]]+Tabla1[[#This Row],[ENTRADAS JUNIO 2021]]</f>
        <v>0</v>
      </c>
      <c r="Z373" s="30" t="s">
        <v>105</v>
      </c>
      <c r="AA373" s="34">
        <v>4881.3599999999997</v>
      </c>
      <c r="AB373" s="35">
        <f t="shared" si="12"/>
        <v>5760.0047999999997</v>
      </c>
      <c r="AC373" s="93">
        <f>Tabla1[[#This Row],[STOCK JUNIO ]]*Tabla1[[#This Row],[COSTO UNITARIO SIN ITBIS]]</f>
        <v>0</v>
      </c>
    </row>
    <row r="374" spans="1:29" s="8" customFormat="1" x14ac:dyDescent="0.25">
      <c r="A374" s="261">
        <v>14</v>
      </c>
      <c r="B374" s="31">
        <v>44168</v>
      </c>
      <c r="C374" s="28" t="s">
        <v>11</v>
      </c>
      <c r="D374" s="31">
        <v>44155</v>
      </c>
      <c r="E374" s="137"/>
      <c r="F374" s="28">
        <v>1596</v>
      </c>
      <c r="G374" s="32" t="s">
        <v>239</v>
      </c>
      <c r="H374" s="63">
        <v>12</v>
      </c>
      <c r="I374" s="63"/>
      <c r="J374" s="63">
        <f>+'INVENTARIO ABRIL-JUNIO 2021'!$H374-'INVENTARIO ABRIL-JUNIO 2021'!$I374</f>
        <v>12</v>
      </c>
      <c r="K374" s="63"/>
      <c r="L374" s="63"/>
      <c r="M374" s="63"/>
      <c r="N374" s="63"/>
      <c r="O374" s="125"/>
      <c r="P374" s="63"/>
      <c r="Q374" s="63"/>
      <c r="R374" s="63"/>
      <c r="S374" s="63"/>
      <c r="T374" s="63"/>
      <c r="U374" s="63">
        <f>+Tabla1[[#This Row],[STOCK    FISICO ENERO 2021]]-Tabla1[[#This Row],[REQUISICIONES FEBRERO 2021]]</f>
        <v>12</v>
      </c>
      <c r="V374" s="63">
        <f>+Tabla1[[#This Row],[STOCK  FEBRERO 2021]]-Tabla1[[#This Row],[REQUISICIONES MARZO 2021]]+Tabla1[[#This Row],[ENTRADAS MARZO 2021]]</f>
        <v>12</v>
      </c>
      <c r="W374" s="63">
        <f>+Tabla1[[#This Row],[STOCK MARZO 2021]]-Tabla1[[#This Row],[REQUISICIONES ABRIL 2021]]+Tabla1[[#This Row],[ENTRADAS ABRIL 2021]]</f>
        <v>12</v>
      </c>
      <c r="X374" s="63">
        <f>+Tabla1[[#This Row],[STOCK ABRIL 2021]]-Tabla1[[#This Row],[REQUISICIONES MAYO 2021]]+Tabla1[[#This Row],[ENTRADAS MAYO 2021]]</f>
        <v>12</v>
      </c>
      <c r="Y374" s="63">
        <f>+Tabla1[[#This Row],[STOCK MAYO 2021]]-Tabla1[[#This Row],[REQUISICIONES JUNIO 2021]]+Tabla1[[#This Row],[ENTRADAS JUNIO 2021]]</f>
        <v>12</v>
      </c>
      <c r="Z374" s="30" t="s">
        <v>12</v>
      </c>
      <c r="AA374" s="34">
        <v>113.04</v>
      </c>
      <c r="AB374" s="35">
        <f t="shared" si="12"/>
        <v>133.38720000000001</v>
      </c>
      <c r="AC374" s="93">
        <f>Tabla1[[#This Row],[STOCK JUNIO ]]*Tabla1[[#This Row],[COSTO UNITARIO SIN ITBIS]]</f>
        <v>1356.48</v>
      </c>
    </row>
    <row r="375" spans="1:29" s="8" customFormat="1" x14ac:dyDescent="0.25">
      <c r="A375" s="261">
        <v>15</v>
      </c>
      <c r="B375" s="31">
        <v>44168</v>
      </c>
      <c r="C375" s="28" t="s">
        <v>11</v>
      </c>
      <c r="D375" s="31">
        <v>44155</v>
      </c>
      <c r="E375" s="137"/>
      <c r="F375" s="28">
        <v>1480</v>
      </c>
      <c r="G375" s="32" t="s">
        <v>240</v>
      </c>
      <c r="H375" s="63">
        <v>1</v>
      </c>
      <c r="I375" s="63"/>
      <c r="J375" s="63">
        <f>+'INVENTARIO ABRIL-JUNIO 2021'!$H375-'INVENTARIO ABRIL-JUNIO 2021'!$I375</f>
        <v>1</v>
      </c>
      <c r="K375" s="63"/>
      <c r="L375" s="63"/>
      <c r="M375" s="63"/>
      <c r="N375" s="63"/>
      <c r="O375" s="125"/>
      <c r="P375" s="63"/>
      <c r="Q375" s="63"/>
      <c r="R375" s="63"/>
      <c r="S375" s="63"/>
      <c r="T375" s="63"/>
      <c r="U375" s="63">
        <f>+Tabla1[[#This Row],[STOCK    FISICO ENERO 2021]]-Tabla1[[#This Row],[REQUISICIONES FEBRERO 2021]]</f>
        <v>1</v>
      </c>
      <c r="V375" s="63">
        <f>+Tabla1[[#This Row],[STOCK  FEBRERO 2021]]-Tabla1[[#This Row],[REQUISICIONES MARZO 2021]]+Tabla1[[#This Row],[ENTRADAS MARZO 2021]]</f>
        <v>1</v>
      </c>
      <c r="W375" s="63">
        <f>+Tabla1[[#This Row],[STOCK MARZO 2021]]-Tabla1[[#This Row],[REQUISICIONES ABRIL 2021]]+Tabla1[[#This Row],[ENTRADAS ABRIL 2021]]</f>
        <v>1</v>
      </c>
      <c r="X375" s="63">
        <f>+Tabla1[[#This Row],[STOCK ABRIL 2021]]-Tabla1[[#This Row],[REQUISICIONES MAYO 2021]]+Tabla1[[#This Row],[ENTRADAS MAYO 2021]]</f>
        <v>1</v>
      </c>
      <c r="Y375" s="63">
        <f>+Tabla1[[#This Row],[STOCK MAYO 2021]]-Tabla1[[#This Row],[REQUISICIONES JUNIO 2021]]+Tabla1[[#This Row],[ENTRADAS JUNIO 2021]]</f>
        <v>1</v>
      </c>
      <c r="Z375" s="30" t="s">
        <v>12</v>
      </c>
      <c r="AA375" s="34">
        <v>2950</v>
      </c>
      <c r="AB375" s="35">
        <f t="shared" si="12"/>
        <v>3481</v>
      </c>
      <c r="AC375" s="93">
        <f>Tabla1[[#This Row],[STOCK JUNIO ]]*Tabla1[[#This Row],[COSTO UNITARIO SIN ITBIS]]</f>
        <v>2950</v>
      </c>
    </row>
    <row r="376" spans="1:29" s="8" customFormat="1" x14ac:dyDescent="0.25">
      <c r="A376" s="261">
        <v>16</v>
      </c>
      <c r="B376" s="31">
        <v>44168</v>
      </c>
      <c r="C376" s="28" t="s">
        <v>11</v>
      </c>
      <c r="D376" s="31">
        <v>44155</v>
      </c>
      <c r="E376" s="137"/>
      <c r="F376" s="28">
        <v>1598</v>
      </c>
      <c r="G376" s="32" t="s">
        <v>241</v>
      </c>
      <c r="H376" s="63">
        <v>0</v>
      </c>
      <c r="I376" s="63"/>
      <c r="J376" s="63">
        <f>+'INVENTARIO ABRIL-JUNIO 2021'!$H376-'INVENTARIO ABRIL-JUNIO 2021'!$I376</f>
        <v>0</v>
      </c>
      <c r="K376" s="63"/>
      <c r="L376" s="63"/>
      <c r="M376" s="63"/>
      <c r="N376" s="63"/>
      <c r="O376" s="125"/>
      <c r="P376" s="63"/>
      <c r="Q376" s="63"/>
      <c r="R376" s="63"/>
      <c r="S376" s="63"/>
      <c r="T376" s="63"/>
      <c r="U376" s="63">
        <f>+Tabla1[[#This Row],[STOCK    FISICO ENERO 2021]]-Tabla1[[#This Row],[REQUISICIONES FEBRERO 2021]]</f>
        <v>0</v>
      </c>
      <c r="V376" s="63">
        <f>+Tabla1[[#This Row],[STOCK  FEBRERO 2021]]-Tabla1[[#This Row],[REQUISICIONES MARZO 2021]]+Tabla1[[#This Row],[ENTRADAS MARZO 2021]]</f>
        <v>0</v>
      </c>
      <c r="W376" s="63">
        <f>+Tabla1[[#This Row],[STOCK MARZO 2021]]-Tabla1[[#This Row],[REQUISICIONES ABRIL 2021]]+Tabla1[[#This Row],[ENTRADAS ABRIL 2021]]</f>
        <v>0</v>
      </c>
      <c r="X376" s="63">
        <f>+Tabla1[[#This Row],[STOCK ABRIL 2021]]-Tabla1[[#This Row],[REQUISICIONES MAYO 2021]]+Tabla1[[#This Row],[ENTRADAS MAYO 2021]]</f>
        <v>0</v>
      </c>
      <c r="Y376" s="63">
        <f>+Tabla1[[#This Row],[STOCK MAYO 2021]]-Tabla1[[#This Row],[REQUISICIONES JUNIO 2021]]+Tabla1[[#This Row],[ENTRADAS JUNIO 2021]]</f>
        <v>0</v>
      </c>
      <c r="Z376" s="30" t="s">
        <v>12</v>
      </c>
      <c r="AA376" s="34">
        <v>153</v>
      </c>
      <c r="AB376" s="35">
        <f t="shared" si="12"/>
        <v>180.54</v>
      </c>
      <c r="AC376" s="93">
        <f>Tabla1[[#This Row],[STOCK JUNIO ]]*Tabla1[[#This Row],[COSTO UNITARIO SIN ITBIS]]</f>
        <v>0</v>
      </c>
    </row>
    <row r="377" spans="1:29" s="8" customFormat="1" x14ac:dyDescent="0.25">
      <c r="A377" s="261">
        <v>17</v>
      </c>
      <c r="B377" s="31">
        <v>44168</v>
      </c>
      <c r="C377" s="28" t="s">
        <v>11</v>
      </c>
      <c r="D377" s="31">
        <v>44155</v>
      </c>
      <c r="E377" s="137"/>
      <c r="F377" s="28">
        <v>1599</v>
      </c>
      <c r="G377" s="32" t="s">
        <v>242</v>
      </c>
      <c r="H377" s="63">
        <v>32</v>
      </c>
      <c r="I377" s="63"/>
      <c r="J377" s="63">
        <f>+'INVENTARIO ABRIL-JUNIO 2021'!$H377-'INVENTARIO ABRIL-JUNIO 2021'!$I377</f>
        <v>32</v>
      </c>
      <c r="K377" s="63"/>
      <c r="L377" s="63"/>
      <c r="M377" s="63"/>
      <c r="N377" s="63"/>
      <c r="O377" s="125"/>
      <c r="P377" s="63"/>
      <c r="Q377" s="63">
        <v>6</v>
      </c>
      <c r="R377" s="63">
        <f>1+5</f>
        <v>6</v>
      </c>
      <c r="S377" s="63">
        <v>2</v>
      </c>
      <c r="T377" s="63">
        <f>10+2</f>
        <v>12</v>
      </c>
      <c r="U377" s="63">
        <f>+Tabla1[[#This Row],[STOCK    FISICO ENERO 2021]]-Tabla1[[#This Row],[REQUISICIONES FEBRERO 2021]]</f>
        <v>32</v>
      </c>
      <c r="V377" s="63">
        <f>+Tabla1[[#This Row],[STOCK  FEBRERO 2021]]-Tabla1[[#This Row],[REQUISICIONES MARZO 2021]]+Tabla1[[#This Row],[ENTRADAS MARZO 2021]]</f>
        <v>26</v>
      </c>
      <c r="W377" s="63">
        <f>+Tabla1[[#This Row],[STOCK MARZO 2021]]-Tabla1[[#This Row],[REQUISICIONES ABRIL 2021]]+Tabla1[[#This Row],[ENTRADAS ABRIL 2021]]</f>
        <v>20</v>
      </c>
      <c r="X377" s="63">
        <f>+Tabla1[[#This Row],[STOCK ABRIL 2021]]-Tabla1[[#This Row],[REQUISICIONES MAYO 2021]]+Tabla1[[#This Row],[ENTRADAS MAYO 2021]]</f>
        <v>18</v>
      </c>
      <c r="Y377" s="63">
        <f>+Tabla1[[#This Row],[STOCK MAYO 2021]]-Tabla1[[#This Row],[REQUISICIONES JUNIO 2021]]+Tabla1[[#This Row],[ENTRADAS JUNIO 2021]]</f>
        <v>6</v>
      </c>
      <c r="Z377" s="30" t="s">
        <v>105</v>
      </c>
      <c r="AA377" s="34">
        <v>54</v>
      </c>
      <c r="AB377" s="35">
        <f t="shared" si="12"/>
        <v>63.72</v>
      </c>
      <c r="AC377" s="93">
        <f>Tabla1[[#This Row],[STOCK JUNIO ]]*Tabla1[[#This Row],[COSTO UNITARIO SIN ITBIS]]</f>
        <v>324</v>
      </c>
    </row>
    <row r="378" spans="1:29" s="8" customFormat="1" x14ac:dyDescent="0.25">
      <c r="A378" s="261">
        <v>18</v>
      </c>
      <c r="B378" s="31">
        <v>44168</v>
      </c>
      <c r="C378" s="28" t="s">
        <v>11</v>
      </c>
      <c r="D378" s="31">
        <v>44155</v>
      </c>
      <c r="E378" s="137"/>
      <c r="F378" s="28">
        <v>1600</v>
      </c>
      <c r="G378" s="32" t="s">
        <v>243</v>
      </c>
      <c r="H378" s="63">
        <v>102</v>
      </c>
      <c r="I378" s="63"/>
      <c r="J378" s="63">
        <f>+'INVENTARIO ABRIL-JUNIO 2021'!$H378-'INVENTARIO ABRIL-JUNIO 2021'!$I378</f>
        <v>102</v>
      </c>
      <c r="K378" s="63"/>
      <c r="L378" s="63"/>
      <c r="M378" s="63"/>
      <c r="N378" s="63"/>
      <c r="O378" s="125"/>
      <c r="P378" s="63"/>
      <c r="Q378" s="63"/>
      <c r="R378" s="63">
        <f>5+1</f>
        <v>6</v>
      </c>
      <c r="S378" s="63"/>
      <c r="T378" s="63">
        <v>1</v>
      </c>
      <c r="U378" s="63">
        <f>+Tabla1[[#This Row],[STOCK    FISICO ENERO 2021]]-Tabla1[[#This Row],[REQUISICIONES FEBRERO 2021]]</f>
        <v>102</v>
      </c>
      <c r="V378" s="63">
        <f>+Tabla1[[#This Row],[STOCK  FEBRERO 2021]]-Tabla1[[#This Row],[REQUISICIONES MARZO 2021]]+Tabla1[[#This Row],[ENTRADAS MARZO 2021]]</f>
        <v>102</v>
      </c>
      <c r="W378" s="63">
        <f>+Tabla1[[#This Row],[STOCK MARZO 2021]]-Tabla1[[#This Row],[REQUISICIONES ABRIL 2021]]+Tabla1[[#This Row],[ENTRADAS ABRIL 2021]]</f>
        <v>96</v>
      </c>
      <c r="X378" s="63">
        <f>+Tabla1[[#This Row],[STOCK ABRIL 2021]]-Tabla1[[#This Row],[REQUISICIONES MAYO 2021]]+Tabla1[[#This Row],[ENTRADAS MAYO 2021]]</f>
        <v>96</v>
      </c>
      <c r="Y378" s="63">
        <f>+Tabla1[[#This Row],[STOCK MAYO 2021]]-Tabla1[[#This Row],[REQUISICIONES JUNIO 2021]]+Tabla1[[#This Row],[ENTRADAS JUNIO 2021]]</f>
        <v>95</v>
      </c>
      <c r="Z378" s="30" t="s">
        <v>105</v>
      </c>
      <c r="AA378" s="34">
        <v>86.44</v>
      </c>
      <c r="AB378" s="35">
        <f t="shared" si="12"/>
        <v>101.9992</v>
      </c>
      <c r="AC378" s="93">
        <f>Tabla1[[#This Row],[STOCK JUNIO ]]*Tabla1[[#This Row],[COSTO UNITARIO SIN ITBIS]]</f>
        <v>8211.7999999999993</v>
      </c>
    </row>
    <row r="379" spans="1:29" s="8" customFormat="1" x14ac:dyDescent="0.25">
      <c r="A379" s="261">
        <v>19</v>
      </c>
      <c r="B379" s="31">
        <v>44168</v>
      </c>
      <c r="C379" s="28" t="s">
        <v>11</v>
      </c>
      <c r="D379" s="31">
        <v>44155</v>
      </c>
      <c r="E379" s="137"/>
      <c r="F379" s="28">
        <v>1333</v>
      </c>
      <c r="G379" s="32" t="s">
        <v>244</v>
      </c>
      <c r="H379" s="63">
        <v>13</v>
      </c>
      <c r="I379" s="63"/>
      <c r="J379" s="63">
        <f>+'INVENTARIO ABRIL-JUNIO 2021'!$H379-'INVENTARIO ABRIL-JUNIO 2021'!$I379</f>
        <v>13</v>
      </c>
      <c r="K379" s="63"/>
      <c r="L379" s="63"/>
      <c r="M379" s="63"/>
      <c r="N379" s="63"/>
      <c r="O379" s="125"/>
      <c r="P379" s="63"/>
      <c r="Q379" s="63"/>
      <c r="R379" s="63"/>
      <c r="S379" s="63"/>
      <c r="T379" s="63">
        <f>2+2</f>
        <v>4</v>
      </c>
      <c r="U379" s="63">
        <f>+Tabla1[[#This Row],[STOCK    FISICO ENERO 2021]]-Tabla1[[#This Row],[REQUISICIONES FEBRERO 2021]]</f>
        <v>13</v>
      </c>
      <c r="V379" s="63">
        <f>+Tabla1[[#This Row],[STOCK  FEBRERO 2021]]-Tabla1[[#This Row],[REQUISICIONES MARZO 2021]]+Tabla1[[#This Row],[ENTRADAS MARZO 2021]]</f>
        <v>13</v>
      </c>
      <c r="W379" s="63">
        <f>+Tabla1[[#This Row],[STOCK MARZO 2021]]-Tabla1[[#This Row],[REQUISICIONES ABRIL 2021]]+Tabla1[[#This Row],[ENTRADAS ABRIL 2021]]</f>
        <v>13</v>
      </c>
      <c r="X379" s="63">
        <f>+Tabla1[[#This Row],[STOCK ABRIL 2021]]-Tabla1[[#This Row],[REQUISICIONES MAYO 2021]]+Tabla1[[#This Row],[ENTRADAS MAYO 2021]]</f>
        <v>13</v>
      </c>
      <c r="Y379" s="63">
        <f>+Tabla1[[#This Row],[STOCK MAYO 2021]]-Tabla1[[#This Row],[REQUISICIONES JUNIO 2021]]+Tabla1[[#This Row],[ENTRADAS JUNIO 2021]]</f>
        <v>9</v>
      </c>
      <c r="Z379" s="30" t="s">
        <v>12</v>
      </c>
      <c r="AA379" s="34">
        <v>180</v>
      </c>
      <c r="AB379" s="35">
        <f t="shared" si="12"/>
        <v>212.4</v>
      </c>
      <c r="AC379" s="93">
        <f>Tabla1[[#This Row],[STOCK JUNIO ]]*Tabla1[[#This Row],[COSTO UNITARIO SIN ITBIS]]</f>
        <v>1620</v>
      </c>
    </row>
    <row r="380" spans="1:29" s="8" customFormat="1" x14ac:dyDescent="0.25">
      <c r="A380" s="261">
        <v>20</v>
      </c>
      <c r="B380" s="31">
        <v>44026</v>
      </c>
      <c r="C380" s="28" t="s">
        <v>11</v>
      </c>
      <c r="D380" s="31">
        <v>44026</v>
      </c>
      <c r="E380" s="137"/>
      <c r="F380" s="28">
        <v>1335</v>
      </c>
      <c r="G380" s="32" t="s">
        <v>245</v>
      </c>
      <c r="H380" s="63">
        <v>8</v>
      </c>
      <c r="I380" s="63"/>
      <c r="J380" s="63">
        <f>+'INVENTARIO ABRIL-JUNIO 2021'!$H380-'INVENTARIO ABRIL-JUNIO 2021'!$I380</f>
        <v>8</v>
      </c>
      <c r="K380" s="63"/>
      <c r="L380" s="63"/>
      <c r="M380" s="63"/>
      <c r="N380" s="63"/>
      <c r="O380" s="125"/>
      <c r="P380" s="63"/>
      <c r="Q380" s="63"/>
      <c r="R380" s="63">
        <v>2</v>
      </c>
      <c r="S380" s="63"/>
      <c r="T380" s="63">
        <v>2</v>
      </c>
      <c r="U380" s="63">
        <f>+Tabla1[[#This Row],[STOCK    FISICO ENERO 2021]]-Tabla1[[#This Row],[REQUISICIONES FEBRERO 2021]]</f>
        <v>8</v>
      </c>
      <c r="V380" s="63">
        <f>+Tabla1[[#This Row],[STOCK  FEBRERO 2021]]-Tabla1[[#This Row],[REQUISICIONES MARZO 2021]]+Tabla1[[#This Row],[ENTRADAS MARZO 2021]]</f>
        <v>8</v>
      </c>
      <c r="W380" s="63">
        <f>+Tabla1[[#This Row],[STOCK MARZO 2021]]-Tabla1[[#This Row],[REQUISICIONES ABRIL 2021]]+Tabla1[[#This Row],[ENTRADAS ABRIL 2021]]</f>
        <v>6</v>
      </c>
      <c r="X380" s="63">
        <f>+Tabla1[[#This Row],[STOCK ABRIL 2021]]-Tabla1[[#This Row],[REQUISICIONES MAYO 2021]]+Tabla1[[#This Row],[ENTRADAS MAYO 2021]]</f>
        <v>6</v>
      </c>
      <c r="Y380" s="63">
        <f>+Tabla1[[#This Row],[STOCK MAYO 2021]]-Tabla1[[#This Row],[REQUISICIONES JUNIO 2021]]+Tabla1[[#This Row],[ENTRADAS JUNIO 2021]]</f>
        <v>4</v>
      </c>
      <c r="Z380" s="30" t="s">
        <v>12</v>
      </c>
      <c r="AA380" s="34">
        <v>180</v>
      </c>
      <c r="AB380" s="35">
        <f t="shared" si="12"/>
        <v>212.4</v>
      </c>
      <c r="AC380" s="93">
        <f>Tabla1[[#This Row],[STOCK JUNIO ]]*Tabla1[[#This Row],[COSTO UNITARIO SIN ITBIS]]</f>
        <v>720</v>
      </c>
    </row>
    <row r="381" spans="1:29" s="8" customFormat="1" x14ac:dyDescent="0.25">
      <c r="A381" s="261">
        <v>21</v>
      </c>
      <c r="B381" s="31">
        <v>44026</v>
      </c>
      <c r="C381" s="28" t="s">
        <v>11</v>
      </c>
      <c r="D381" s="31">
        <v>44026</v>
      </c>
      <c r="E381" s="137"/>
      <c r="F381" s="28">
        <v>1028</v>
      </c>
      <c r="G381" s="32" t="s">
        <v>246</v>
      </c>
      <c r="H381" s="63">
        <v>13</v>
      </c>
      <c r="I381" s="63"/>
      <c r="J381" s="63">
        <f>+'INVENTARIO ABRIL-JUNIO 2021'!$H381-'INVENTARIO ABRIL-JUNIO 2021'!$I381</f>
        <v>13</v>
      </c>
      <c r="K381" s="63"/>
      <c r="L381" s="63"/>
      <c r="M381" s="63"/>
      <c r="N381" s="63"/>
      <c r="O381" s="125"/>
      <c r="P381" s="63"/>
      <c r="Q381" s="63">
        <v>2</v>
      </c>
      <c r="R381" s="63">
        <v>1</v>
      </c>
      <c r="S381" s="63">
        <v>2</v>
      </c>
      <c r="T381" s="63">
        <v>4</v>
      </c>
      <c r="U381" s="63">
        <f>+Tabla1[[#This Row],[STOCK    FISICO ENERO 2021]]-Tabla1[[#This Row],[REQUISICIONES FEBRERO 2021]]</f>
        <v>13</v>
      </c>
      <c r="V381" s="63">
        <f>+Tabla1[[#This Row],[STOCK  FEBRERO 2021]]-Tabla1[[#This Row],[REQUISICIONES MARZO 2021]]+Tabla1[[#This Row],[ENTRADAS MARZO 2021]]</f>
        <v>11</v>
      </c>
      <c r="W381" s="63">
        <f>+Tabla1[[#This Row],[STOCK MARZO 2021]]-Tabla1[[#This Row],[REQUISICIONES ABRIL 2021]]+Tabla1[[#This Row],[ENTRADAS ABRIL 2021]]</f>
        <v>10</v>
      </c>
      <c r="X381" s="63">
        <f>+Tabla1[[#This Row],[STOCK ABRIL 2021]]-Tabla1[[#This Row],[REQUISICIONES MAYO 2021]]+Tabla1[[#This Row],[ENTRADAS MAYO 2021]]</f>
        <v>8</v>
      </c>
      <c r="Y381" s="63">
        <f>+Tabla1[[#This Row],[STOCK MAYO 2021]]-Tabla1[[#This Row],[REQUISICIONES JUNIO 2021]]+Tabla1[[#This Row],[ENTRADAS JUNIO 2021]]</f>
        <v>4</v>
      </c>
      <c r="Z381" s="30" t="s">
        <v>12</v>
      </c>
      <c r="AA381" s="34">
        <v>180</v>
      </c>
      <c r="AB381" s="35">
        <f t="shared" si="12"/>
        <v>212.4</v>
      </c>
      <c r="AC381" s="93">
        <f>Tabla1[[#This Row],[STOCK JUNIO ]]*Tabla1[[#This Row],[COSTO UNITARIO SIN ITBIS]]</f>
        <v>720</v>
      </c>
    </row>
    <row r="382" spans="1:29" s="8" customFormat="1" x14ac:dyDescent="0.25">
      <c r="A382" s="261">
        <v>22</v>
      </c>
      <c r="B382" s="70">
        <v>43630</v>
      </c>
      <c r="C382" s="54" t="s">
        <v>11</v>
      </c>
      <c r="D382" s="70">
        <v>43630</v>
      </c>
      <c r="E382" s="144"/>
      <c r="F382" s="54">
        <v>1334</v>
      </c>
      <c r="G382" s="32" t="s">
        <v>247</v>
      </c>
      <c r="H382" s="68">
        <v>21</v>
      </c>
      <c r="I382" s="68"/>
      <c r="J382" s="68">
        <f>+'INVENTARIO ABRIL-JUNIO 2021'!$H382-'INVENTARIO ABRIL-JUNIO 2021'!$I382</f>
        <v>21</v>
      </c>
      <c r="K382" s="68"/>
      <c r="L382" s="68"/>
      <c r="M382" s="68"/>
      <c r="N382" s="68"/>
      <c r="O382" s="178"/>
      <c r="P382" s="68"/>
      <c r="Q382" s="68">
        <f>1+2</f>
        <v>3</v>
      </c>
      <c r="R382" s="68"/>
      <c r="S382" s="68"/>
      <c r="T382" s="68"/>
      <c r="U382" s="68">
        <f>+Tabla1[[#This Row],[STOCK    FISICO ENERO 2021]]-Tabla1[[#This Row],[REQUISICIONES FEBRERO 2021]]</f>
        <v>21</v>
      </c>
      <c r="V382" s="68">
        <f>+Tabla1[[#This Row],[STOCK  FEBRERO 2021]]-Tabla1[[#This Row],[REQUISICIONES MARZO 2021]]+Tabla1[[#This Row],[ENTRADAS MARZO 2021]]</f>
        <v>18</v>
      </c>
      <c r="W382" s="68">
        <f>+Tabla1[[#This Row],[STOCK MARZO 2021]]-Tabla1[[#This Row],[REQUISICIONES ABRIL 2021]]+Tabla1[[#This Row],[ENTRADAS ABRIL 2021]]</f>
        <v>18</v>
      </c>
      <c r="X382" s="68">
        <f>+Tabla1[[#This Row],[STOCK ABRIL 2021]]-Tabla1[[#This Row],[REQUISICIONES MAYO 2021]]+Tabla1[[#This Row],[ENTRADAS MAYO 2021]]</f>
        <v>18</v>
      </c>
      <c r="Y382" s="68">
        <f>+Tabla1[[#This Row],[STOCK MAYO 2021]]-Tabla1[[#This Row],[REQUISICIONES JUNIO 2021]]+Tabla1[[#This Row],[ENTRADAS JUNIO 2021]]</f>
        <v>18</v>
      </c>
      <c r="Z382" s="38" t="s">
        <v>12</v>
      </c>
      <c r="AA382" s="41">
        <v>180</v>
      </c>
      <c r="AB382" s="35">
        <f t="shared" si="12"/>
        <v>212.4</v>
      </c>
      <c r="AC382" s="93">
        <f>Tabla1[[#This Row],[STOCK JUNIO ]]*Tabla1[[#This Row],[COSTO UNITARIO SIN ITBIS]]</f>
        <v>3240</v>
      </c>
    </row>
    <row r="383" spans="1:29" s="8" customFormat="1" x14ac:dyDescent="0.25">
      <c r="A383" s="261">
        <v>23</v>
      </c>
      <c r="B383" s="31">
        <v>44026</v>
      </c>
      <c r="C383" s="28" t="s">
        <v>11</v>
      </c>
      <c r="D383" s="31">
        <v>44026</v>
      </c>
      <c r="E383" s="137"/>
      <c r="F383" s="28">
        <v>1029</v>
      </c>
      <c r="G383" s="32" t="s">
        <v>248</v>
      </c>
      <c r="H383" s="63">
        <v>10</v>
      </c>
      <c r="I383" s="63"/>
      <c r="J383" s="63">
        <f>+'INVENTARIO ABRIL-JUNIO 2021'!$H383-'INVENTARIO ABRIL-JUNIO 2021'!$I383</f>
        <v>10</v>
      </c>
      <c r="K383" s="63"/>
      <c r="L383" s="63"/>
      <c r="M383" s="63"/>
      <c r="N383" s="63"/>
      <c r="O383" s="125"/>
      <c r="P383" s="63"/>
      <c r="Q383" s="63">
        <v>2</v>
      </c>
      <c r="R383" s="63">
        <v>2</v>
      </c>
      <c r="S383" s="63"/>
      <c r="T383" s="63"/>
      <c r="U383" s="63">
        <f>+Tabla1[[#This Row],[STOCK    FISICO ENERO 2021]]-Tabla1[[#This Row],[REQUISICIONES FEBRERO 2021]]</f>
        <v>10</v>
      </c>
      <c r="V383" s="63">
        <f>+Tabla1[[#This Row],[STOCK  FEBRERO 2021]]-Tabla1[[#This Row],[REQUISICIONES MARZO 2021]]+Tabla1[[#This Row],[ENTRADAS MARZO 2021]]</f>
        <v>8</v>
      </c>
      <c r="W383" s="63">
        <f>+Tabla1[[#This Row],[STOCK MARZO 2021]]-Tabla1[[#This Row],[REQUISICIONES ABRIL 2021]]+Tabla1[[#This Row],[ENTRADAS ABRIL 2021]]</f>
        <v>6</v>
      </c>
      <c r="X383" s="63">
        <f>+Tabla1[[#This Row],[STOCK ABRIL 2021]]-Tabla1[[#This Row],[REQUISICIONES MAYO 2021]]+Tabla1[[#This Row],[ENTRADAS MAYO 2021]]</f>
        <v>6</v>
      </c>
      <c r="Y383" s="63">
        <f>+Tabla1[[#This Row],[STOCK MAYO 2021]]-Tabla1[[#This Row],[REQUISICIONES JUNIO 2021]]+Tabla1[[#This Row],[ENTRADAS JUNIO 2021]]</f>
        <v>6</v>
      </c>
      <c r="Z383" s="30" t="s">
        <v>12</v>
      </c>
      <c r="AA383" s="34">
        <v>180</v>
      </c>
      <c r="AB383" s="35">
        <f t="shared" si="12"/>
        <v>212.4</v>
      </c>
      <c r="AC383" s="93">
        <f>Tabla1[[#This Row],[STOCK JUNIO ]]*Tabla1[[#This Row],[COSTO UNITARIO SIN ITBIS]]</f>
        <v>1080</v>
      </c>
    </row>
    <row r="384" spans="1:29" s="8" customFormat="1" x14ac:dyDescent="0.25">
      <c r="A384" s="261">
        <v>24</v>
      </c>
      <c r="B384" s="31">
        <v>44026</v>
      </c>
      <c r="C384" s="28" t="s">
        <v>11</v>
      </c>
      <c r="D384" s="31">
        <v>44026</v>
      </c>
      <c r="E384" s="137"/>
      <c r="F384" s="28"/>
      <c r="G384" s="32" t="s">
        <v>249</v>
      </c>
      <c r="H384" s="63">
        <v>10</v>
      </c>
      <c r="I384" s="63"/>
      <c r="J384" s="63">
        <f>+'INVENTARIO ABRIL-JUNIO 2021'!$H384-'INVENTARIO ABRIL-JUNIO 2021'!$I384</f>
        <v>10</v>
      </c>
      <c r="K384" s="63"/>
      <c r="L384" s="63"/>
      <c r="M384" s="63"/>
      <c r="N384" s="63"/>
      <c r="O384" s="125"/>
      <c r="P384" s="63"/>
      <c r="Q384" s="63"/>
      <c r="R384" s="63"/>
      <c r="S384" s="63"/>
      <c r="T384" s="63"/>
      <c r="U384" s="63">
        <f>+Tabla1[[#This Row],[STOCK    FISICO ENERO 2021]]-Tabla1[[#This Row],[REQUISICIONES FEBRERO 2021]]</f>
        <v>10</v>
      </c>
      <c r="V384" s="63">
        <f>+Tabla1[[#This Row],[STOCK  FEBRERO 2021]]-Tabla1[[#This Row],[REQUISICIONES MARZO 2021]]+Tabla1[[#This Row],[ENTRADAS MARZO 2021]]</f>
        <v>10</v>
      </c>
      <c r="W384" s="63">
        <f>+Tabla1[[#This Row],[STOCK MARZO 2021]]-Tabla1[[#This Row],[REQUISICIONES ABRIL 2021]]+Tabla1[[#This Row],[ENTRADAS ABRIL 2021]]</f>
        <v>10</v>
      </c>
      <c r="X384" s="63">
        <f>+Tabla1[[#This Row],[STOCK ABRIL 2021]]-Tabla1[[#This Row],[REQUISICIONES MAYO 2021]]+Tabla1[[#This Row],[ENTRADAS MAYO 2021]]</f>
        <v>10</v>
      </c>
      <c r="Y384" s="63">
        <f>+Tabla1[[#This Row],[STOCK MAYO 2021]]-Tabla1[[#This Row],[REQUISICIONES JUNIO 2021]]+Tabla1[[#This Row],[ENTRADAS JUNIO 2021]]</f>
        <v>10</v>
      </c>
      <c r="Z384" s="30" t="s">
        <v>12</v>
      </c>
      <c r="AA384" s="34">
        <v>725.7</v>
      </c>
      <c r="AB384" s="35">
        <f t="shared" si="12"/>
        <v>856.32600000000002</v>
      </c>
      <c r="AC384" s="93">
        <f>Tabla1[[#This Row],[STOCK JUNIO ]]*Tabla1[[#This Row],[COSTO UNITARIO SIN ITBIS]]</f>
        <v>7257</v>
      </c>
    </row>
    <row r="385" spans="1:29" s="9" customFormat="1" x14ac:dyDescent="0.25">
      <c r="A385" s="261">
        <v>25</v>
      </c>
      <c r="B385" s="31">
        <v>44026</v>
      </c>
      <c r="C385" s="28" t="s">
        <v>11</v>
      </c>
      <c r="D385" s="31">
        <v>44026</v>
      </c>
      <c r="E385" s="137"/>
      <c r="F385" s="28" t="s">
        <v>20</v>
      </c>
      <c r="G385" s="32" t="s">
        <v>250</v>
      </c>
      <c r="H385" s="63">
        <v>1</v>
      </c>
      <c r="I385" s="63"/>
      <c r="J385" s="63">
        <f>+'INVENTARIO ABRIL-JUNIO 2021'!$H385-'INVENTARIO ABRIL-JUNIO 2021'!$I385</f>
        <v>1</v>
      </c>
      <c r="K385" s="63"/>
      <c r="L385" s="63"/>
      <c r="M385" s="63"/>
      <c r="N385" s="63"/>
      <c r="O385" s="125"/>
      <c r="P385" s="63"/>
      <c r="Q385" s="63"/>
      <c r="R385" s="63"/>
      <c r="S385" s="63"/>
      <c r="T385" s="63"/>
      <c r="U385" s="63">
        <f>+Tabla1[[#This Row],[STOCK    FISICO ENERO 2021]]-Tabla1[[#This Row],[REQUISICIONES FEBRERO 2021]]</f>
        <v>1</v>
      </c>
      <c r="V385" s="63">
        <f>+Tabla1[[#This Row],[STOCK  FEBRERO 2021]]-Tabla1[[#This Row],[REQUISICIONES MARZO 2021]]+Tabla1[[#This Row],[ENTRADAS MARZO 2021]]</f>
        <v>1</v>
      </c>
      <c r="W385" s="63">
        <f>+Tabla1[[#This Row],[STOCK MARZO 2021]]-Tabla1[[#This Row],[REQUISICIONES ABRIL 2021]]+Tabla1[[#This Row],[ENTRADAS ABRIL 2021]]</f>
        <v>1</v>
      </c>
      <c r="X385" s="63">
        <f>+Tabla1[[#This Row],[STOCK ABRIL 2021]]-Tabla1[[#This Row],[REQUISICIONES MAYO 2021]]+Tabla1[[#This Row],[ENTRADAS MAYO 2021]]</f>
        <v>1</v>
      </c>
      <c r="Y385" s="63">
        <f>+Tabla1[[#This Row],[STOCK MAYO 2021]]-Tabla1[[#This Row],[REQUISICIONES JUNIO 2021]]+Tabla1[[#This Row],[ENTRADAS JUNIO 2021]]</f>
        <v>1</v>
      </c>
      <c r="Z385" s="30" t="s">
        <v>12</v>
      </c>
      <c r="AA385" s="34">
        <v>0</v>
      </c>
      <c r="AB385" s="35">
        <f t="shared" si="12"/>
        <v>0</v>
      </c>
      <c r="AC385" s="93">
        <f>Tabla1[[#This Row],[STOCK JUNIO ]]*Tabla1[[#This Row],[COSTO UNITARIO SIN ITBIS]]</f>
        <v>0</v>
      </c>
    </row>
    <row r="386" spans="1:29" s="8" customFormat="1" x14ac:dyDescent="0.25">
      <c r="A386" s="261">
        <v>26</v>
      </c>
      <c r="B386" s="31">
        <v>43089</v>
      </c>
      <c r="C386" s="28" t="s">
        <v>11</v>
      </c>
      <c r="D386" s="31">
        <v>43089</v>
      </c>
      <c r="E386" s="137"/>
      <c r="F386" s="28">
        <v>1336</v>
      </c>
      <c r="G386" s="32" t="s">
        <v>251</v>
      </c>
      <c r="H386" s="63">
        <v>10</v>
      </c>
      <c r="I386" s="63"/>
      <c r="J386" s="63">
        <f>+'INVENTARIO ABRIL-JUNIO 2021'!$H386-'INVENTARIO ABRIL-JUNIO 2021'!$I386</f>
        <v>10</v>
      </c>
      <c r="K386" s="63"/>
      <c r="L386" s="63"/>
      <c r="M386" s="63"/>
      <c r="N386" s="63"/>
      <c r="O386" s="125"/>
      <c r="P386" s="63"/>
      <c r="Q386" s="63"/>
      <c r="R386" s="63"/>
      <c r="S386" s="63">
        <v>2</v>
      </c>
      <c r="T386" s="63">
        <v>4</v>
      </c>
      <c r="U386" s="63">
        <f>+Tabla1[[#This Row],[STOCK    FISICO ENERO 2021]]-Tabla1[[#This Row],[REQUISICIONES FEBRERO 2021]]</f>
        <v>10</v>
      </c>
      <c r="V386" s="63">
        <f>+Tabla1[[#This Row],[STOCK  FEBRERO 2021]]-Tabla1[[#This Row],[REQUISICIONES MARZO 2021]]+Tabla1[[#This Row],[ENTRADAS MARZO 2021]]</f>
        <v>10</v>
      </c>
      <c r="W386" s="63">
        <f>+Tabla1[[#This Row],[STOCK MARZO 2021]]-Tabla1[[#This Row],[REQUISICIONES ABRIL 2021]]+Tabla1[[#This Row],[ENTRADAS ABRIL 2021]]</f>
        <v>10</v>
      </c>
      <c r="X386" s="63">
        <f>+Tabla1[[#This Row],[STOCK ABRIL 2021]]-Tabla1[[#This Row],[REQUISICIONES MAYO 2021]]+Tabla1[[#This Row],[ENTRADAS MAYO 2021]]</f>
        <v>8</v>
      </c>
      <c r="Y386" s="63">
        <f>+Tabla1[[#This Row],[STOCK MAYO 2021]]-Tabla1[[#This Row],[REQUISICIONES JUNIO 2021]]+Tabla1[[#This Row],[ENTRADAS JUNIO 2021]]</f>
        <v>4</v>
      </c>
      <c r="Z386" s="30" t="s">
        <v>12</v>
      </c>
      <c r="AA386" s="34">
        <v>180</v>
      </c>
      <c r="AB386" s="35">
        <f t="shared" si="12"/>
        <v>212.4</v>
      </c>
      <c r="AC386" s="93">
        <f>Tabla1[[#This Row],[STOCK JUNIO ]]*Tabla1[[#This Row],[COSTO UNITARIO SIN ITBIS]]</f>
        <v>720</v>
      </c>
    </row>
    <row r="387" spans="1:29" s="8" customFormat="1" x14ac:dyDescent="0.25">
      <c r="A387" s="261">
        <v>27</v>
      </c>
      <c r="B387" s="31">
        <v>43089</v>
      </c>
      <c r="C387" s="28" t="s">
        <v>11</v>
      </c>
      <c r="D387" s="31">
        <v>43089</v>
      </c>
      <c r="E387" s="137"/>
      <c r="F387" s="28">
        <v>1037</v>
      </c>
      <c r="G387" s="32" t="s">
        <v>252</v>
      </c>
      <c r="H387" s="63">
        <v>30</v>
      </c>
      <c r="I387" s="63"/>
      <c r="J387" s="63">
        <f>+'INVENTARIO ABRIL-JUNIO 2021'!$H387-'INVENTARIO ABRIL-JUNIO 2021'!$I387</f>
        <v>30</v>
      </c>
      <c r="K387" s="63"/>
      <c r="L387" s="63"/>
      <c r="M387" s="63"/>
      <c r="N387" s="63"/>
      <c r="O387" s="125"/>
      <c r="P387" s="63"/>
      <c r="Q387" s="63"/>
      <c r="R387" s="63"/>
      <c r="S387" s="63"/>
      <c r="T387" s="63"/>
      <c r="U387" s="63">
        <f>+Tabla1[[#This Row],[STOCK    FISICO ENERO 2021]]-Tabla1[[#This Row],[REQUISICIONES FEBRERO 2021]]</f>
        <v>30</v>
      </c>
      <c r="V387" s="63">
        <f>+Tabla1[[#This Row],[STOCK  FEBRERO 2021]]-Tabla1[[#This Row],[REQUISICIONES MARZO 2021]]+Tabla1[[#This Row],[ENTRADAS MARZO 2021]]</f>
        <v>30</v>
      </c>
      <c r="W387" s="63">
        <f>+Tabla1[[#This Row],[STOCK MARZO 2021]]-Tabla1[[#This Row],[REQUISICIONES ABRIL 2021]]+Tabla1[[#This Row],[ENTRADAS ABRIL 2021]]</f>
        <v>30</v>
      </c>
      <c r="X387" s="63">
        <f>+Tabla1[[#This Row],[STOCK ABRIL 2021]]-Tabla1[[#This Row],[REQUISICIONES MAYO 2021]]+Tabla1[[#This Row],[ENTRADAS MAYO 2021]]</f>
        <v>30</v>
      </c>
      <c r="Y387" s="63">
        <f>+Tabla1[[#This Row],[STOCK MAYO 2021]]-Tabla1[[#This Row],[REQUISICIONES JUNIO 2021]]+Tabla1[[#This Row],[ENTRADAS JUNIO 2021]]</f>
        <v>30</v>
      </c>
      <c r="Z387" s="30" t="s">
        <v>12</v>
      </c>
      <c r="AA387" s="34">
        <v>110</v>
      </c>
      <c r="AB387" s="35">
        <f t="shared" si="12"/>
        <v>129.80000000000001</v>
      </c>
      <c r="AC387" s="93">
        <f>Tabla1[[#This Row],[STOCK JUNIO ]]*Tabla1[[#This Row],[COSTO UNITARIO SIN ITBIS]]</f>
        <v>3300</v>
      </c>
    </row>
    <row r="388" spans="1:29" s="8" customFormat="1" x14ac:dyDescent="0.25">
      <c r="A388" s="261">
        <v>28</v>
      </c>
      <c r="B388" s="31">
        <v>44168</v>
      </c>
      <c r="C388" s="28" t="s">
        <v>11</v>
      </c>
      <c r="D388" s="31">
        <v>44154</v>
      </c>
      <c r="E388" s="137"/>
      <c r="F388" s="28">
        <v>1038</v>
      </c>
      <c r="G388" s="32" t="s">
        <v>253</v>
      </c>
      <c r="H388" s="63">
        <v>4</v>
      </c>
      <c r="I388" s="63"/>
      <c r="J388" s="63">
        <f>+'INVENTARIO ABRIL-JUNIO 2021'!$H388-'INVENTARIO ABRIL-JUNIO 2021'!$I388</f>
        <v>4</v>
      </c>
      <c r="K388" s="63"/>
      <c r="L388" s="63"/>
      <c r="M388" s="63"/>
      <c r="N388" s="63"/>
      <c r="O388" s="125"/>
      <c r="P388" s="63"/>
      <c r="Q388" s="63"/>
      <c r="R388" s="63"/>
      <c r="S388" s="63"/>
      <c r="T388" s="63"/>
      <c r="U388" s="63">
        <f>+Tabla1[[#This Row],[STOCK    FISICO ENERO 2021]]-Tabla1[[#This Row],[REQUISICIONES FEBRERO 2021]]</f>
        <v>4</v>
      </c>
      <c r="V388" s="63">
        <f>+Tabla1[[#This Row],[STOCK  FEBRERO 2021]]-Tabla1[[#This Row],[REQUISICIONES MARZO 2021]]+Tabla1[[#This Row],[ENTRADAS MARZO 2021]]</f>
        <v>4</v>
      </c>
      <c r="W388" s="63">
        <f>+Tabla1[[#This Row],[STOCK MARZO 2021]]-Tabla1[[#This Row],[REQUISICIONES ABRIL 2021]]+Tabla1[[#This Row],[ENTRADAS ABRIL 2021]]</f>
        <v>4</v>
      </c>
      <c r="X388" s="63">
        <f>+Tabla1[[#This Row],[STOCK ABRIL 2021]]-Tabla1[[#This Row],[REQUISICIONES MAYO 2021]]+Tabla1[[#This Row],[ENTRADAS MAYO 2021]]</f>
        <v>4</v>
      </c>
      <c r="Y388" s="63">
        <f>+Tabla1[[#This Row],[STOCK MAYO 2021]]-Tabla1[[#This Row],[REQUISICIONES JUNIO 2021]]+Tabla1[[#This Row],[ENTRADAS JUNIO 2021]]</f>
        <v>4</v>
      </c>
      <c r="Z388" s="30" t="s">
        <v>12</v>
      </c>
      <c r="AA388" s="34">
        <v>60</v>
      </c>
      <c r="AB388" s="35">
        <f t="shared" si="12"/>
        <v>70.8</v>
      </c>
      <c r="AC388" s="93">
        <f>Tabla1[[#This Row],[STOCK JUNIO ]]*Tabla1[[#This Row],[COSTO UNITARIO SIN ITBIS]]</f>
        <v>240</v>
      </c>
    </row>
    <row r="389" spans="1:29" s="8" customFormat="1" x14ac:dyDescent="0.25">
      <c r="A389" s="261">
        <v>29</v>
      </c>
      <c r="B389" s="31">
        <v>44168</v>
      </c>
      <c r="C389" s="28" t="s">
        <v>11</v>
      </c>
      <c r="D389" s="31">
        <v>44152</v>
      </c>
      <c r="E389" s="137"/>
      <c r="F389" s="28">
        <v>1618</v>
      </c>
      <c r="G389" s="32" t="s">
        <v>254</v>
      </c>
      <c r="H389" s="63">
        <v>0</v>
      </c>
      <c r="I389" s="63"/>
      <c r="J389" s="63">
        <f>+'INVENTARIO ABRIL-JUNIO 2021'!$H389-'INVENTARIO ABRIL-JUNIO 2021'!$I389</f>
        <v>0</v>
      </c>
      <c r="K389" s="63"/>
      <c r="L389" s="63"/>
      <c r="M389" s="63"/>
      <c r="N389" s="63"/>
      <c r="O389" s="125"/>
      <c r="P389" s="63"/>
      <c r="Q389" s="63"/>
      <c r="R389" s="63"/>
      <c r="S389" s="63"/>
      <c r="T389" s="63"/>
      <c r="U389" s="63">
        <f>+Tabla1[[#This Row],[STOCK    FISICO ENERO 2021]]-Tabla1[[#This Row],[REQUISICIONES FEBRERO 2021]]</f>
        <v>0</v>
      </c>
      <c r="V389" s="63">
        <f>+Tabla1[[#This Row],[STOCK  FEBRERO 2021]]-Tabla1[[#This Row],[REQUISICIONES MARZO 2021]]+Tabla1[[#This Row],[ENTRADAS MARZO 2021]]</f>
        <v>0</v>
      </c>
      <c r="W389" s="63">
        <f>+Tabla1[[#This Row],[STOCK MARZO 2021]]-Tabla1[[#This Row],[REQUISICIONES ABRIL 2021]]+Tabla1[[#This Row],[ENTRADAS ABRIL 2021]]</f>
        <v>0</v>
      </c>
      <c r="X389" s="63">
        <f>+Tabla1[[#This Row],[STOCK ABRIL 2021]]-Tabla1[[#This Row],[REQUISICIONES MAYO 2021]]+Tabla1[[#This Row],[ENTRADAS MAYO 2021]]</f>
        <v>0</v>
      </c>
      <c r="Y389" s="63">
        <f>+Tabla1[[#This Row],[STOCK MAYO 2021]]-Tabla1[[#This Row],[REQUISICIONES JUNIO 2021]]+Tabla1[[#This Row],[ENTRADAS JUNIO 2021]]</f>
        <v>0</v>
      </c>
      <c r="Z389" s="30" t="s">
        <v>105</v>
      </c>
      <c r="AA389" s="34">
        <v>24.41</v>
      </c>
      <c r="AB389" s="35">
        <f t="shared" si="12"/>
        <v>28.803799999999999</v>
      </c>
      <c r="AC389" s="93">
        <f>Tabla1[[#This Row],[STOCK JUNIO ]]*Tabla1[[#This Row],[COSTO UNITARIO SIN ITBIS]]</f>
        <v>0</v>
      </c>
    </row>
    <row r="390" spans="1:29" s="8" customFormat="1" x14ac:dyDescent="0.25">
      <c r="A390" s="261">
        <v>30</v>
      </c>
      <c r="B390" s="31">
        <v>44168</v>
      </c>
      <c r="C390" s="28" t="s">
        <v>11</v>
      </c>
      <c r="D390" s="31">
        <v>44152</v>
      </c>
      <c r="E390" s="137"/>
      <c r="F390" s="28">
        <v>1609</v>
      </c>
      <c r="G390" s="32" t="s">
        <v>255</v>
      </c>
      <c r="H390" s="63">
        <v>3</v>
      </c>
      <c r="I390" s="63"/>
      <c r="J390" s="63">
        <f>+'INVENTARIO ABRIL-JUNIO 2021'!$H390-'INVENTARIO ABRIL-JUNIO 2021'!$I390</f>
        <v>3</v>
      </c>
      <c r="K390" s="63"/>
      <c r="L390" s="63"/>
      <c r="M390" s="63"/>
      <c r="N390" s="63"/>
      <c r="O390" s="125"/>
      <c r="P390" s="63"/>
      <c r="Q390" s="63"/>
      <c r="R390" s="63"/>
      <c r="S390" s="63"/>
      <c r="T390" s="63"/>
      <c r="U390" s="63">
        <f>+Tabla1[[#This Row],[STOCK    FISICO ENERO 2021]]-Tabla1[[#This Row],[REQUISICIONES FEBRERO 2021]]</f>
        <v>3</v>
      </c>
      <c r="V390" s="63">
        <f>+Tabla1[[#This Row],[STOCK  FEBRERO 2021]]-Tabla1[[#This Row],[REQUISICIONES MARZO 2021]]+Tabla1[[#This Row],[ENTRADAS MARZO 2021]]</f>
        <v>3</v>
      </c>
      <c r="W390" s="63">
        <f>+Tabla1[[#This Row],[STOCK MARZO 2021]]-Tabla1[[#This Row],[REQUISICIONES ABRIL 2021]]+Tabla1[[#This Row],[ENTRADAS ABRIL 2021]]</f>
        <v>3</v>
      </c>
      <c r="X390" s="63">
        <f>+Tabla1[[#This Row],[STOCK ABRIL 2021]]-Tabla1[[#This Row],[REQUISICIONES MAYO 2021]]+Tabla1[[#This Row],[ENTRADAS MAYO 2021]]</f>
        <v>3</v>
      </c>
      <c r="Y390" s="63">
        <f>+Tabla1[[#This Row],[STOCK MAYO 2021]]-Tabla1[[#This Row],[REQUISICIONES JUNIO 2021]]+Tabla1[[#This Row],[ENTRADAS JUNIO 2021]]</f>
        <v>3</v>
      </c>
      <c r="Z390" s="30" t="s">
        <v>105</v>
      </c>
      <c r="AA390" s="34">
        <v>2308.4699999999998</v>
      </c>
      <c r="AB390" s="35">
        <f t="shared" si="12"/>
        <v>2723.9946</v>
      </c>
      <c r="AC390" s="93">
        <f>Tabla1[[#This Row],[STOCK JUNIO ]]*Tabla1[[#This Row],[COSTO UNITARIO SIN ITBIS]]</f>
        <v>6925.41</v>
      </c>
    </row>
    <row r="391" spans="1:29" s="8" customFormat="1" x14ac:dyDescent="0.25">
      <c r="A391" s="261">
        <v>31</v>
      </c>
      <c r="B391" s="31">
        <v>44167</v>
      </c>
      <c r="C391" s="28" t="s">
        <v>11</v>
      </c>
      <c r="D391" s="31">
        <v>44161</v>
      </c>
      <c r="E391" s="137"/>
      <c r="F391" s="28">
        <v>1608</v>
      </c>
      <c r="G391" s="32" t="s">
        <v>256</v>
      </c>
      <c r="H391" s="63">
        <v>5</v>
      </c>
      <c r="I391" s="63"/>
      <c r="J391" s="63">
        <f>+'INVENTARIO ABRIL-JUNIO 2021'!$H391-'INVENTARIO ABRIL-JUNIO 2021'!$I391</f>
        <v>5</v>
      </c>
      <c r="K391" s="63"/>
      <c r="L391" s="63"/>
      <c r="M391" s="63"/>
      <c r="N391" s="63"/>
      <c r="O391" s="125"/>
      <c r="P391" s="63"/>
      <c r="Q391" s="63"/>
      <c r="R391" s="63">
        <v>1</v>
      </c>
      <c r="S391" s="63"/>
      <c r="T391" s="63">
        <f>1+1</f>
        <v>2</v>
      </c>
      <c r="U391" s="63">
        <f>+Tabla1[[#This Row],[STOCK    FISICO ENERO 2021]]-Tabla1[[#This Row],[REQUISICIONES FEBRERO 2021]]</f>
        <v>5</v>
      </c>
      <c r="V391" s="63">
        <f>+Tabla1[[#This Row],[STOCK  FEBRERO 2021]]-Tabla1[[#This Row],[REQUISICIONES MARZO 2021]]+Tabla1[[#This Row],[ENTRADAS MARZO 2021]]</f>
        <v>5</v>
      </c>
      <c r="W391" s="63">
        <f>+Tabla1[[#This Row],[STOCK MARZO 2021]]-Tabla1[[#This Row],[REQUISICIONES ABRIL 2021]]+Tabla1[[#This Row],[ENTRADAS ABRIL 2021]]</f>
        <v>4</v>
      </c>
      <c r="X391" s="63">
        <f>+Tabla1[[#This Row],[STOCK ABRIL 2021]]-Tabla1[[#This Row],[REQUISICIONES MAYO 2021]]+Tabla1[[#This Row],[ENTRADAS MAYO 2021]]</f>
        <v>4</v>
      </c>
      <c r="Y391" s="63">
        <f>+Tabla1[[#This Row],[STOCK MAYO 2021]]-Tabla1[[#This Row],[REQUISICIONES JUNIO 2021]]+Tabla1[[#This Row],[ENTRADAS JUNIO 2021]]</f>
        <v>2</v>
      </c>
      <c r="Z391" s="30" t="s">
        <v>105</v>
      </c>
      <c r="AA391" s="34">
        <v>111.86</v>
      </c>
      <c r="AB391" s="35">
        <f t="shared" si="12"/>
        <v>131.9948</v>
      </c>
      <c r="AC391" s="93">
        <f>Tabla1[[#This Row],[STOCK JUNIO ]]*Tabla1[[#This Row],[COSTO UNITARIO SIN ITBIS]]</f>
        <v>223.72</v>
      </c>
    </row>
    <row r="392" spans="1:29" s="8" customFormat="1" x14ac:dyDescent="0.25">
      <c r="A392" s="261">
        <v>32</v>
      </c>
      <c r="B392" s="31">
        <v>44110</v>
      </c>
      <c r="C392" s="28" t="s">
        <v>11</v>
      </c>
      <c r="D392" s="31">
        <v>44110</v>
      </c>
      <c r="E392" s="137"/>
      <c r="F392" s="28">
        <v>1607</v>
      </c>
      <c r="G392" s="32" t="s">
        <v>257</v>
      </c>
      <c r="H392" s="63">
        <v>2</v>
      </c>
      <c r="I392" s="63"/>
      <c r="J392" s="63">
        <f>+'INVENTARIO ABRIL-JUNIO 2021'!$H392-'INVENTARIO ABRIL-JUNIO 2021'!$I392</f>
        <v>2</v>
      </c>
      <c r="K392" s="63"/>
      <c r="L392" s="63"/>
      <c r="M392" s="63"/>
      <c r="N392" s="63"/>
      <c r="O392" s="125"/>
      <c r="P392" s="63"/>
      <c r="Q392" s="63"/>
      <c r="R392" s="63"/>
      <c r="S392" s="63"/>
      <c r="T392" s="63"/>
      <c r="U392" s="63">
        <f>+Tabla1[[#This Row],[STOCK    FISICO ENERO 2021]]-Tabla1[[#This Row],[REQUISICIONES FEBRERO 2021]]</f>
        <v>2</v>
      </c>
      <c r="V392" s="63">
        <f>+Tabla1[[#This Row],[STOCK  FEBRERO 2021]]-Tabla1[[#This Row],[REQUISICIONES MARZO 2021]]+Tabla1[[#This Row],[ENTRADAS MARZO 2021]]</f>
        <v>2</v>
      </c>
      <c r="W392" s="63">
        <f>+Tabla1[[#This Row],[STOCK MARZO 2021]]-Tabla1[[#This Row],[REQUISICIONES ABRIL 2021]]+Tabla1[[#This Row],[ENTRADAS ABRIL 2021]]</f>
        <v>2</v>
      </c>
      <c r="X392" s="63">
        <f>+Tabla1[[#This Row],[STOCK ABRIL 2021]]-Tabla1[[#This Row],[REQUISICIONES MAYO 2021]]+Tabla1[[#This Row],[ENTRADAS MAYO 2021]]</f>
        <v>2</v>
      </c>
      <c r="Y392" s="63">
        <f>+Tabla1[[#This Row],[STOCK MAYO 2021]]-Tabla1[[#This Row],[REQUISICIONES JUNIO 2021]]+Tabla1[[#This Row],[ENTRADAS JUNIO 2021]]</f>
        <v>2</v>
      </c>
      <c r="Z392" s="30" t="s">
        <v>105</v>
      </c>
      <c r="AA392" s="34">
        <v>450</v>
      </c>
      <c r="AB392" s="35">
        <f t="shared" si="12"/>
        <v>531</v>
      </c>
      <c r="AC392" s="93">
        <f>Tabla1[[#This Row],[STOCK JUNIO ]]*Tabla1[[#This Row],[COSTO UNITARIO SIN ITBIS]]</f>
        <v>900</v>
      </c>
    </row>
    <row r="393" spans="1:29" s="8" customFormat="1" x14ac:dyDescent="0.25">
      <c r="A393" s="261">
        <v>33</v>
      </c>
      <c r="B393" s="31">
        <v>43325</v>
      </c>
      <c r="C393" s="28" t="s">
        <v>11</v>
      </c>
      <c r="D393" s="31">
        <v>43325</v>
      </c>
      <c r="E393" s="137"/>
      <c r="F393" s="28">
        <v>1617</v>
      </c>
      <c r="G393" s="32" t="s">
        <v>889</v>
      </c>
      <c r="H393" s="63">
        <v>113</v>
      </c>
      <c r="I393" s="63"/>
      <c r="J393" s="63">
        <f>+'INVENTARIO ABRIL-JUNIO 2021'!$H393-'INVENTARIO ABRIL-JUNIO 2021'!$I393</f>
        <v>113</v>
      </c>
      <c r="K393" s="63"/>
      <c r="L393" s="63"/>
      <c r="M393" s="63"/>
      <c r="N393" s="63"/>
      <c r="O393" s="125"/>
      <c r="P393" s="63"/>
      <c r="Q393" s="63"/>
      <c r="R393" s="63"/>
      <c r="S393" s="63">
        <f>3+1</f>
        <v>4</v>
      </c>
      <c r="T393" s="63"/>
      <c r="U393" s="63">
        <f>+Tabla1[[#This Row],[STOCK    FISICO ENERO 2021]]-Tabla1[[#This Row],[REQUISICIONES FEBRERO 2021]]</f>
        <v>113</v>
      </c>
      <c r="V393" s="63">
        <f>+Tabla1[[#This Row],[STOCK  FEBRERO 2021]]-Tabla1[[#This Row],[REQUISICIONES MARZO 2021]]+Tabla1[[#This Row],[ENTRADAS MARZO 2021]]</f>
        <v>113</v>
      </c>
      <c r="W393" s="63">
        <f>+Tabla1[[#This Row],[STOCK MARZO 2021]]-Tabla1[[#This Row],[REQUISICIONES ABRIL 2021]]+Tabla1[[#This Row],[ENTRADAS ABRIL 2021]]</f>
        <v>113</v>
      </c>
      <c r="X393" s="63">
        <f>+Tabla1[[#This Row],[STOCK ABRIL 2021]]-Tabla1[[#This Row],[REQUISICIONES MAYO 2021]]+Tabla1[[#This Row],[ENTRADAS MAYO 2021]]</f>
        <v>109</v>
      </c>
      <c r="Y393" s="63">
        <f>+Tabla1[[#This Row],[STOCK MAYO 2021]]-Tabla1[[#This Row],[REQUISICIONES JUNIO 2021]]+Tabla1[[#This Row],[ENTRADAS JUNIO 2021]]</f>
        <v>109</v>
      </c>
      <c r="Z393" s="30" t="s">
        <v>12</v>
      </c>
      <c r="AA393" s="34">
        <v>14.24</v>
      </c>
      <c r="AB393" s="35">
        <f t="shared" ref="AB393:AB429" si="13">AA393*0.18+AA393</f>
        <v>16.8032</v>
      </c>
      <c r="AC393" s="93">
        <f>Tabla1[[#This Row],[STOCK JUNIO ]]*Tabla1[[#This Row],[COSTO UNITARIO SIN ITBIS]]</f>
        <v>1552.16</v>
      </c>
    </row>
    <row r="394" spans="1:29" s="8" customFormat="1" x14ac:dyDescent="0.25">
      <c r="A394" s="261">
        <v>34</v>
      </c>
      <c r="B394" s="31">
        <v>43165</v>
      </c>
      <c r="C394" s="28" t="s">
        <v>11</v>
      </c>
      <c r="D394" s="31">
        <v>43165</v>
      </c>
      <c r="E394" s="137"/>
      <c r="F394" s="28">
        <v>1042</v>
      </c>
      <c r="G394" s="32" t="s">
        <v>258</v>
      </c>
      <c r="H394" s="63">
        <v>15</v>
      </c>
      <c r="I394" s="63"/>
      <c r="J394" s="63">
        <f>+'INVENTARIO ABRIL-JUNIO 2021'!$H394-'INVENTARIO ABRIL-JUNIO 2021'!$I394</f>
        <v>15</v>
      </c>
      <c r="K394" s="63"/>
      <c r="L394" s="63"/>
      <c r="M394" s="63"/>
      <c r="N394" s="63"/>
      <c r="O394" s="125"/>
      <c r="P394" s="63"/>
      <c r="Q394" s="63"/>
      <c r="R394" s="63">
        <v>1</v>
      </c>
      <c r="S394" s="63">
        <f>1+1</f>
        <v>2</v>
      </c>
      <c r="T394" s="63">
        <v>1</v>
      </c>
      <c r="U394" s="63">
        <f>+Tabla1[[#This Row],[STOCK    FISICO ENERO 2021]]-Tabla1[[#This Row],[REQUISICIONES FEBRERO 2021]]</f>
        <v>15</v>
      </c>
      <c r="V394" s="63">
        <f>+Tabla1[[#This Row],[STOCK  FEBRERO 2021]]-Tabla1[[#This Row],[REQUISICIONES MARZO 2021]]+Tabla1[[#This Row],[ENTRADAS MARZO 2021]]</f>
        <v>15</v>
      </c>
      <c r="W394" s="63">
        <f>+Tabla1[[#This Row],[STOCK MARZO 2021]]-Tabla1[[#This Row],[REQUISICIONES ABRIL 2021]]+Tabla1[[#This Row],[ENTRADAS ABRIL 2021]]</f>
        <v>14</v>
      </c>
      <c r="X394" s="63">
        <f>+Tabla1[[#This Row],[STOCK ABRIL 2021]]-Tabla1[[#This Row],[REQUISICIONES MAYO 2021]]+Tabla1[[#This Row],[ENTRADAS MAYO 2021]]</f>
        <v>12</v>
      </c>
      <c r="Y394" s="63">
        <f>+Tabla1[[#This Row],[STOCK MAYO 2021]]-Tabla1[[#This Row],[REQUISICIONES JUNIO 2021]]+Tabla1[[#This Row],[ENTRADAS JUNIO 2021]]</f>
        <v>11</v>
      </c>
      <c r="Z394" s="30" t="s">
        <v>12</v>
      </c>
      <c r="AA394" s="34">
        <v>37.76</v>
      </c>
      <c r="AB394" s="35">
        <f t="shared" si="13"/>
        <v>44.556799999999996</v>
      </c>
      <c r="AC394" s="93">
        <f>Tabla1[[#This Row],[STOCK JUNIO ]]*Tabla1[[#This Row],[COSTO UNITARIO SIN ITBIS]]</f>
        <v>415.35999999999996</v>
      </c>
    </row>
    <row r="395" spans="1:29" s="8" customFormat="1" x14ac:dyDescent="0.25">
      <c r="A395" s="261">
        <v>35</v>
      </c>
      <c r="B395" s="31">
        <v>44026</v>
      </c>
      <c r="C395" s="28" t="s">
        <v>11</v>
      </c>
      <c r="D395" s="31">
        <v>44026</v>
      </c>
      <c r="E395" s="137"/>
      <c r="F395" s="28">
        <v>1041</v>
      </c>
      <c r="G395" s="32" t="s">
        <v>887</v>
      </c>
      <c r="H395" s="63">
        <v>4</v>
      </c>
      <c r="I395" s="63">
        <v>2</v>
      </c>
      <c r="J395" s="63">
        <f>+'INVENTARIO ABRIL-JUNIO 2021'!$H395-'INVENTARIO ABRIL-JUNIO 2021'!$I395+2+1</f>
        <v>5</v>
      </c>
      <c r="K395" s="63"/>
      <c r="L395" s="63"/>
      <c r="M395" s="63"/>
      <c r="N395" s="63"/>
      <c r="O395" s="125"/>
      <c r="P395" s="63">
        <f>1+2+1</f>
        <v>4</v>
      </c>
      <c r="Q395" s="63">
        <v>1</v>
      </c>
      <c r="R395" s="63"/>
      <c r="S395" s="63"/>
      <c r="T395" s="63"/>
      <c r="U395" s="63">
        <f>+Tabla1[[#This Row],[STOCK    FISICO ENERO 2021]]-Tabla1[[#This Row],[REQUISICIONES FEBRERO 2021]]</f>
        <v>1</v>
      </c>
      <c r="V395" s="63">
        <f>+Tabla1[[#This Row],[STOCK  FEBRERO 2021]]-Tabla1[[#This Row],[REQUISICIONES MARZO 2021]]+Tabla1[[#This Row],[ENTRADAS MARZO 2021]]</f>
        <v>0</v>
      </c>
      <c r="W395" s="63">
        <f>+Tabla1[[#This Row],[STOCK MARZO 2021]]-Tabla1[[#This Row],[REQUISICIONES ABRIL 2021]]+Tabla1[[#This Row],[ENTRADAS ABRIL 2021]]</f>
        <v>0</v>
      </c>
      <c r="X395" s="63">
        <f>+Tabla1[[#This Row],[STOCK ABRIL 2021]]-Tabla1[[#This Row],[REQUISICIONES MAYO 2021]]+Tabla1[[#This Row],[ENTRADAS MAYO 2021]]</f>
        <v>0</v>
      </c>
      <c r="Y395" s="63">
        <f>+Tabla1[[#This Row],[STOCK MAYO 2021]]-Tabla1[[#This Row],[REQUISICIONES JUNIO 2021]]+Tabla1[[#This Row],[ENTRADAS JUNIO 2021]]</f>
        <v>0</v>
      </c>
      <c r="Z395" s="30" t="s">
        <v>12</v>
      </c>
      <c r="AA395" s="34">
        <v>25</v>
      </c>
      <c r="AB395" s="35">
        <f t="shared" si="13"/>
        <v>29.5</v>
      </c>
      <c r="AC395" s="93">
        <f>Tabla1[[#This Row],[STOCK JUNIO ]]*Tabla1[[#This Row],[COSTO UNITARIO SIN ITBIS]]</f>
        <v>0</v>
      </c>
    </row>
    <row r="396" spans="1:29" s="8" customFormat="1" x14ac:dyDescent="0.25">
      <c r="A396" s="261">
        <v>36</v>
      </c>
      <c r="B396" s="31">
        <v>44026</v>
      </c>
      <c r="C396" s="28" t="s">
        <v>11</v>
      </c>
      <c r="D396" s="31">
        <v>44026</v>
      </c>
      <c r="E396" s="137"/>
      <c r="F396" s="28">
        <v>1637</v>
      </c>
      <c r="G396" s="32" t="s">
        <v>259</v>
      </c>
      <c r="H396" s="63">
        <f>16+11</f>
        <v>27</v>
      </c>
      <c r="I396" s="63"/>
      <c r="J396" s="63">
        <f>+'INVENTARIO ABRIL-JUNIO 2021'!$H396-'INVENTARIO ABRIL-JUNIO 2021'!$I396</f>
        <v>27</v>
      </c>
      <c r="K396" s="63"/>
      <c r="L396" s="63"/>
      <c r="M396" s="63"/>
      <c r="N396" s="63"/>
      <c r="O396" s="125"/>
      <c r="P396" s="63"/>
      <c r="Q396" s="63"/>
      <c r="R396" s="63"/>
      <c r="S396" s="63"/>
      <c r="T396" s="63"/>
      <c r="U396" s="63">
        <f>+Tabla1[[#This Row],[STOCK    FISICO ENERO 2021]]-Tabla1[[#This Row],[REQUISICIONES FEBRERO 2021]]</f>
        <v>27</v>
      </c>
      <c r="V396" s="63">
        <f>+Tabla1[[#This Row],[STOCK  FEBRERO 2021]]-Tabla1[[#This Row],[REQUISICIONES MARZO 2021]]+Tabla1[[#This Row],[ENTRADAS MARZO 2021]]</f>
        <v>27</v>
      </c>
      <c r="W396" s="63">
        <f>+Tabla1[[#This Row],[STOCK MARZO 2021]]-Tabla1[[#This Row],[REQUISICIONES ABRIL 2021]]+Tabla1[[#This Row],[ENTRADAS ABRIL 2021]]</f>
        <v>27</v>
      </c>
      <c r="X396" s="63">
        <f>+Tabla1[[#This Row],[STOCK ABRIL 2021]]-Tabla1[[#This Row],[REQUISICIONES MAYO 2021]]+Tabla1[[#This Row],[ENTRADAS MAYO 2021]]</f>
        <v>27</v>
      </c>
      <c r="Y396" s="63">
        <f>+Tabla1[[#This Row],[STOCK MAYO 2021]]-Tabla1[[#This Row],[REQUISICIONES JUNIO 2021]]+Tabla1[[#This Row],[ENTRADAS JUNIO 2021]]</f>
        <v>27</v>
      </c>
      <c r="Z396" s="30" t="s">
        <v>105</v>
      </c>
      <c r="AA396" s="34">
        <v>76.27</v>
      </c>
      <c r="AB396" s="35">
        <f t="shared" si="13"/>
        <v>89.998599999999996</v>
      </c>
      <c r="AC396" s="93">
        <f>Tabla1[[#This Row],[STOCK JUNIO ]]*Tabla1[[#This Row],[COSTO UNITARIO SIN ITBIS]]</f>
        <v>2059.29</v>
      </c>
    </row>
    <row r="397" spans="1:29" s="8" customFormat="1" x14ac:dyDescent="0.25">
      <c r="A397" s="261">
        <v>37</v>
      </c>
      <c r="B397" s="31">
        <v>44026</v>
      </c>
      <c r="C397" s="28" t="s">
        <v>11</v>
      </c>
      <c r="D397" s="31">
        <v>44026</v>
      </c>
      <c r="E397" s="137"/>
      <c r="F397" s="28">
        <v>1635</v>
      </c>
      <c r="G397" s="32" t="s">
        <v>260</v>
      </c>
      <c r="H397" s="63">
        <f>59+17</f>
        <v>76</v>
      </c>
      <c r="I397" s="63">
        <v>1</v>
      </c>
      <c r="J397" s="63">
        <f>+'INVENTARIO ABRIL-JUNIO 2021'!$H397-'INVENTARIO ABRIL-JUNIO 2021'!$I397</f>
        <v>75</v>
      </c>
      <c r="K397" s="63"/>
      <c r="L397" s="63"/>
      <c r="M397" s="63"/>
      <c r="N397" s="63"/>
      <c r="O397" s="125"/>
      <c r="P397" s="63"/>
      <c r="Q397" s="63">
        <f>4+2</f>
        <v>6</v>
      </c>
      <c r="R397" s="63">
        <v>1</v>
      </c>
      <c r="S397" s="63">
        <v>2</v>
      </c>
      <c r="T397" s="63"/>
      <c r="U397" s="63">
        <f>+Tabla1[[#This Row],[STOCK    FISICO ENERO 2021]]-Tabla1[[#This Row],[REQUISICIONES FEBRERO 2021]]</f>
        <v>75</v>
      </c>
      <c r="V397" s="63">
        <f>+Tabla1[[#This Row],[STOCK  FEBRERO 2021]]-Tabla1[[#This Row],[REQUISICIONES MARZO 2021]]+Tabla1[[#This Row],[ENTRADAS MARZO 2021]]</f>
        <v>69</v>
      </c>
      <c r="W397" s="63">
        <f>+Tabla1[[#This Row],[STOCK MARZO 2021]]-Tabla1[[#This Row],[REQUISICIONES ABRIL 2021]]+Tabla1[[#This Row],[ENTRADAS ABRIL 2021]]</f>
        <v>68</v>
      </c>
      <c r="X397" s="63">
        <f>+Tabla1[[#This Row],[STOCK ABRIL 2021]]-Tabla1[[#This Row],[REQUISICIONES MAYO 2021]]+Tabla1[[#This Row],[ENTRADAS MAYO 2021]]</f>
        <v>66</v>
      </c>
      <c r="Y397" s="63">
        <f>+Tabla1[[#This Row],[STOCK MAYO 2021]]-Tabla1[[#This Row],[REQUISICIONES JUNIO 2021]]+Tabla1[[#This Row],[ENTRADAS JUNIO 2021]]</f>
        <v>66</v>
      </c>
      <c r="Z397" s="30" t="s">
        <v>105</v>
      </c>
      <c r="AA397" s="34">
        <v>50.85</v>
      </c>
      <c r="AB397" s="35">
        <f t="shared" si="13"/>
        <v>60.003</v>
      </c>
      <c r="AC397" s="93">
        <f>Tabla1[[#This Row],[STOCK JUNIO ]]*Tabla1[[#This Row],[COSTO UNITARIO SIN ITBIS]]</f>
        <v>3356.1</v>
      </c>
    </row>
    <row r="398" spans="1:29" s="8" customFormat="1" x14ac:dyDescent="0.25">
      <c r="A398" s="261">
        <v>38</v>
      </c>
      <c r="B398" s="31">
        <v>44026</v>
      </c>
      <c r="C398" s="28" t="s">
        <v>11</v>
      </c>
      <c r="D398" s="31">
        <v>44026</v>
      </c>
      <c r="E398" s="137"/>
      <c r="F398" s="28" t="s">
        <v>20</v>
      </c>
      <c r="G398" s="32" t="s">
        <v>261</v>
      </c>
      <c r="H398" s="63">
        <v>20</v>
      </c>
      <c r="I398" s="63"/>
      <c r="J398" s="63">
        <f>+'INVENTARIO ABRIL-JUNIO 2021'!$H398-'INVENTARIO ABRIL-JUNIO 2021'!$I398</f>
        <v>20</v>
      </c>
      <c r="K398" s="63"/>
      <c r="L398" s="63"/>
      <c r="M398" s="63"/>
      <c r="N398" s="63"/>
      <c r="O398" s="125"/>
      <c r="P398" s="63"/>
      <c r="Q398" s="63"/>
      <c r="R398" s="63"/>
      <c r="S398" s="63"/>
      <c r="T398" s="63"/>
      <c r="U398" s="63">
        <f>+Tabla1[[#This Row],[STOCK    FISICO ENERO 2021]]-Tabla1[[#This Row],[REQUISICIONES FEBRERO 2021]]</f>
        <v>20</v>
      </c>
      <c r="V398" s="63">
        <f>+Tabla1[[#This Row],[STOCK  FEBRERO 2021]]-Tabla1[[#This Row],[REQUISICIONES MARZO 2021]]+Tabla1[[#This Row],[ENTRADAS MARZO 2021]]</f>
        <v>20</v>
      </c>
      <c r="W398" s="63">
        <f>+Tabla1[[#This Row],[STOCK MARZO 2021]]-Tabla1[[#This Row],[REQUISICIONES ABRIL 2021]]+Tabla1[[#This Row],[ENTRADAS ABRIL 2021]]</f>
        <v>20</v>
      </c>
      <c r="X398" s="63">
        <f>+Tabla1[[#This Row],[STOCK ABRIL 2021]]-Tabla1[[#This Row],[REQUISICIONES MAYO 2021]]+Tabla1[[#This Row],[ENTRADAS MAYO 2021]]</f>
        <v>20</v>
      </c>
      <c r="Y398" s="63">
        <f>+Tabla1[[#This Row],[STOCK MAYO 2021]]-Tabla1[[#This Row],[REQUISICIONES JUNIO 2021]]+Tabla1[[#This Row],[ENTRADAS JUNIO 2021]]</f>
        <v>20</v>
      </c>
      <c r="Z398" s="30" t="s">
        <v>12</v>
      </c>
      <c r="AA398" s="34">
        <v>0</v>
      </c>
      <c r="AB398" s="35">
        <f t="shared" si="13"/>
        <v>0</v>
      </c>
      <c r="AC398" s="93">
        <f>Tabla1[[#This Row],[STOCK JUNIO ]]*Tabla1[[#This Row],[COSTO UNITARIO SIN ITBIS]]</f>
        <v>0</v>
      </c>
    </row>
    <row r="399" spans="1:29" s="8" customFormat="1" x14ac:dyDescent="0.25">
      <c r="A399" s="261">
        <v>39</v>
      </c>
      <c r="B399" s="31">
        <v>44026</v>
      </c>
      <c r="C399" s="28" t="s">
        <v>11</v>
      </c>
      <c r="D399" s="31">
        <v>44026</v>
      </c>
      <c r="E399" s="137"/>
      <c r="F399" s="28">
        <v>1636</v>
      </c>
      <c r="G399" s="32" t="s">
        <v>262</v>
      </c>
      <c r="H399" s="63">
        <f>35+15</f>
        <v>50</v>
      </c>
      <c r="I399" s="63">
        <v>1</v>
      </c>
      <c r="J399" s="63">
        <f>+'INVENTARIO ABRIL-JUNIO 2021'!$H399-'INVENTARIO ABRIL-JUNIO 2021'!$I399</f>
        <v>49</v>
      </c>
      <c r="K399" s="63"/>
      <c r="L399" s="63"/>
      <c r="M399" s="63"/>
      <c r="N399" s="63"/>
      <c r="O399" s="125"/>
      <c r="P399" s="63">
        <f>2+2+4</f>
        <v>8</v>
      </c>
      <c r="Q399" s="63"/>
      <c r="R399" s="63"/>
      <c r="S399" s="63">
        <f>10+10</f>
        <v>20</v>
      </c>
      <c r="T399" s="63">
        <v>3</v>
      </c>
      <c r="U399" s="63">
        <f>+Tabla1[[#This Row],[STOCK    FISICO ENERO 2021]]-Tabla1[[#This Row],[REQUISICIONES FEBRERO 2021]]</f>
        <v>41</v>
      </c>
      <c r="V399" s="63">
        <f>+Tabla1[[#This Row],[STOCK  FEBRERO 2021]]-Tabla1[[#This Row],[REQUISICIONES MARZO 2021]]+Tabla1[[#This Row],[ENTRADAS MARZO 2021]]</f>
        <v>41</v>
      </c>
      <c r="W399" s="63">
        <f>+Tabla1[[#This Row],[STOCK MARZO 2021]]-Tabla1[[#This Row],[REQUISICIONES ABRIL 2021]]+Tabla1[[#This Row],[ENTRADAS ABRIL 2021]]</f>
        <v>41</v>
      </c>
      <c r="X399" s="63">
        <f>+Tabla1[[#This Row],[STOCK ABRIL 2021]]-Tabla1[[#This Row],[REQUISICIONES MAYO 2021]]+Tabla1[[#This Row],[ENTRADAS MAYO 2021]]</f>
        <v>21</v>
      </c>
      <c r="Y399" s="63">
        <f>+Tabla1[[#This Row],[STOCK MAYO 2021]]-Tabla1[[#This Row],[REQUISICIONES JUNIO 2021]]+Tabla1[[#This Row],[ENTRADAS JUNIO 2021]]</f>
        <v>18</v>
      </c>
      <c r="Z399" s="30" t="s">
        <v>105</v>
      </c>
      <c r="AA399" s="34">
        <v>65.23</v>
      </c>
      <c r="AB399" s="35">
        <f t="shared" si="13"/>
        <v>76.971400000000003</v>
      </c>
      <c r="AC399" s="93">
        <f>Tabla1[[#This Row],[STOCK JUNIO ]]*Tabla1[[#This Row],[COSTO UNITARIO SIN ITBIS]]</f>
        <v>1174.1400000000001</v>
      </c>
    </row>
    <row r="400" spans="1:29" s="8" customFormat="1" x14ac:dyDescent="0.25">
      <c r="A400" s="261">
        <v>40</v>
      </c>
      <c r="B400" s="31">
        <v>44027</v>
      </c>
      <c r="C400" s="28" t="s">
        <v>11</v>
      </c>
      <c r="D400" s="31">
        <v>44027</v>
      </c>
      <c r="E400" s="137"/>
      <c r="F400" s="28">
        <v>1619</v>
      </c>
      <c r="G400" s="32" t="s">
        <v>263</v>
      </c>
      <c r="H400" s="63">
        <v>23</v>
      </c>
      <c r="I400" s="63"/>
      <c r="J400" s="63">
        <f>+'INVENTARIO ABRIL-JUNIO 2021'!$H400-'INVENTARIO ABRIL-JUNIO 2021'!$I400</f>
        <v>23</v>
      </c>
      <c r="K400" s="63"/>
      <c r="L400" s="63"/>
      <c r="M400" s="63"/>
      <c r="N400" s="63"/>
      <c r="O400" s="125"/>
      <c r="P400" s="63">
        <v>3</v>
      </c>
      <c r="Q400" s="63"/>
      <c r="R400" s="63"/>
      <c r="S400" s="63"/>
      <c r="T400" s="63"/>
      <c r="U400" s="63">
        <f>+Tabla1[[#This Row],[STOCK    FISICO ENERO 2021]]-Tabla1[[#This Row],[REQUISICIONES FEBRERO 2021]]</f>
        <v>20</v>
      </c>
      <c r="V400" s="63">
        <f>+Tabla1[[#This Row],[STOCK  FEBRERO 2021]]-Tabla1[[#This Row],[REQUISICIONES MARZO 2021]]+Tabla1[[#This Row],[ENTRADAS MARZO 2021]]</f>
        <v>20</v>
      </c>
      <c r="W400" s="63">
        <f>+Tabla1[[#This Row],[STOCK MARZO 2021]]-Tabla1[[#This Row],[REQUISICIONES ABRIL 2021]]+Tabla1[[#This Row],[ENTRADAS ABRIL 2021]]</f>
        <v>20</v>
      </c>
      <c r="X400" s="63">
        <f>+Tabla1[[#This Row],[STOCK ABRIL 2021]]-Tabla1[[#This Row],[REQUISICIONES MAYO 2021]]+Tabla1[[#This Row],[ENTRADAS MAYO 2021]]</f>
        <v>20</v>
      </c>
      <c r="Y400" s="63">
        <f>+Tabla1[[#This Row],[STOCK MAYO 2021]]-Tabla1[[#This Row],[REQUISICIONES JUNIO 2021]]+Tabla1[[#This Row],[ENTRADAS JUNIO 2021]]</f>
        <v>20</v>
      </c>
      <c r="Z400" s="30" t="s">
        <v>105</v>
      </c>
      <c r="AA400" s="34">
        <v>8.14</v>
      </c>
      <c r="AB400" s="35">
        <f t="shared" si="13"/>
        <v>9.6052</v>
      </c>
      <c r="AC400" s="93">
        <f>Tabla1[[#This Row],[STOCK JUNIO ]]*Tabla1[[#This Row],[COSTO UNITARIO SIN ITBIS]]</f>
        <v>162.80000000000001</v>
      </c>
    </row>
    <row r="401" spans="1:29" s="8" customFormat="1" x14ac:dyDescent="0.25">
      <c r="A401" s="261">
        <v>41</v>
      </c>
      <c r="B401" s="31">
        <v>44026</v>
      </c>
      <c r="C401" s="28" t="s">
        <v>11</v>
      </c>
      <c r="D401" s="31">
        <v>44026</v>
      </c>
      <c r="E401" s="137"/>
      <c r="F401" s="28">
        <v>1620</v>
      </c>
      <c r="G401" s="32" t="s">
        <v>264</v>
      </c>
      <c r="H401" s="63">
        <v>0</v>
      </c>
      <c r="I401" s="63"/>
      <c r="J401" s="63">
        <f>+'INVENTARIO ABRIL-JUNIO 2021'!$H401-'INVENTARIO ABRIL-JUNIO 2021'!$I401</f>
        <v>0</v>
      </c>
      <c r="K401" s="63"/>
      <c r="L401" s="63"/>
      <c r="M401" s="63"/>
      <c r="N401" s="63"/>
      <c r="O401" s="125"/>
      <c r="P401" s="63"/>
      <c r="Q401" s="63"/>
      <c r="R401" s="63"/>
      <c r="S401" s="63"/>
      <c r="T401" s="63"/>
      <c r="U401" s="63">
        <f>+Tabla1[[#This Row],[STOCK    FISICO ENERO 2021]]-Tabla1[[#This Row],[REQUISICIONES FEBRERO 2021]]</f>
        <v>0</v>
      </c>
      <c r="V401" s="63">
        <f>+Tabla1[[#This Row],[STOCK  FEBRERO 2021]]-Tabla1[[#This Row],[REQUISICIONES MARZO 2021]]+Tabla1[[#This Row],[ENTRADAS MARZO 2021]]</f>
        <v>0</v>
      </c>
      <c r="W401" s="63">
        <f>+Tabla1[[#This Row],[STOCK MARZO 2021]]-Tabla1[[#This Row],[REQUISICIONES ABRIL 2021]]+Tabla1[[#This Row],[ENTRADAS ABRIL 2021]]</f>
        <v>0</v>
      </c>
      <c r="X401" s="63">
        <f>+Tabla1[[#This Row],[STOCK ABRIL 2021]]-Tabla1[[#This Row],[REQUISICIONES MAYO 2021]]+Tabla1[[#This Row],[ENTRADAS MAYO 2021]]</f>
        <v>0</v>
      </c>
      <c r="Y401" s="63">
        <f>+Tabla1[[#This Row],[STOCK MAYO 2021]]-Tabla1[[#This Row],[REQUISICIONES JUNIO 2021]]+Tabla1[[#This Row],[ENTRADAS JUNIO 2021]]</f>
        <v>0</v>
      </c>
      <c r="Z401" s="30" t="s">
        <v>105</v>
      </c>
      <c r="AA401" s="34">
        <v>14.24</v>
      </c>
      <c r="AB401" s="35">
        <f t="shared" si="13"/>
        <v>16.8032</v>
      </c>
      <c r="AC401" s="93">
        <f>Tabla1[[#This Row],[STOCK JUNIO ]]*Tabla1[[#This Row],[COSTO UNITARIO SIN ITBIS]]</f>
        <v>0</v>
      </c>
    </row>
    <row r="402" spans="1:29" s="8" customFormat="1" x14ac:dyDescent="0.25">
      <c r="A402" s="261">
        <v>42</v>
      </c>
      <c r="B402" s="31">
        <v>44168</v>
      </c>
      <c r="C402" s="28" t="s">
        <v>11</v>
      </c>
      <c r="D402" s="31">
        <v>44152</v>
      </c>
      <c r="E402" s="137"/>
      <c r="F402" s="28">
        <v>1437</v>
      </c>
      <c r="G402" s="32" t="s">
        <v>265</v>
      </c>
      <c r="H402" s="63">
        <v>0</v>
      </c>
      <c r="I402" s="63"/>
      <c r="J402" s="63">
        <f>+'INVENTARIO ABRIL-JUNIO 2021'!$H402-'INVENTARIO ABRIL-JUNIO 2021'!$I402</f>
        <v>0</v>
      </c>
      <c r="K402" s="63"/>
      <c r="L402" s="63"/>
      <c r="M402" s="63"/>
      <c r="N402" s="63"/>
      <c r="O402" s="125"/>
      <c r="P402" s="63"/>
      <c r="Q402" s="63"/>
      <c r="R402" s="63"/>
      <c r="S402" s="63"/>
      <c r="T402" s="63"/>
      <c r="U402" s="63">
        <f>+Tabla1[[#This Row],[STOCK    FISICO ENERO 2021]]-Tabla1[[#This Row],[REQUISICIONES FEBRERO 2021]]</f>
        <v>0</v>
      </c>
      <c r="V402" s="63">
        <f>+Tabla1[[#This Row],[STOCK  FEBRERO 2021]]-Tabla1[[#This Row],[REQUISICIONES MARZO 2021]]+Tabla1[[#This Row],[ENTRADAS MARZO 2021]]</f>
        <v>0</v>
      </c>
      <c r="W402" s="63">
        <f>+Tabla1[[#This Row],[STOCK MARZO 2021]]-Tabla1[[#This Row],[REQUISICIONES ABRIL 2021]]+Tabla1[[#This Row],[ENTRADAS ABRIL 2021]]</f>
        <v>0</v>
      </c>
      <c r="X402" s="63">
        <f>+Tabla1[[#This Row],[STOCK ABRIL 2021]]-Tabla1[[#This Row],[REQUISICIONES MAYO 2021]]+Tabla1[[#This Row],[ENTRADAS MAYO 2021]]</f>
        <v>0</v>
      </c>
      <c r="Y402" s="63">
        <f>+Tabla1[[#This Row],[STOCK MAYO 2021]]-Tabla1[[#This Row],[REQUISICIONES JUNIO 2021]]+Tabla1[[#This Row],[ENTRADAS JUNIO 2021]]</f>
        <v>0</v>
      </c>
      <c r="Z402" s="30" t="s">
        <v>12</v>
      </c>
      <c r="AA402" s="34">
        <v>10.88</v>
      </c>
      <c r="AB402" s="35">
        <f t="shared" si="13"/>
        <v>12.8384</v>
      </c>
      <c r="AC402" s="93">
        <f>Tabla1[[#This Row],[STOCK JUNIO ]]*Tabla1[[#This Row],[COSTO UNITARIO SIN ITBIS]]</f>
        <v>0</v>
      </c>
    </row>
    <row r="403" spans="1:29" s="8" customFormat="1" x14ac:dyDescent="0.25">
      <c r="A403" s="261">
        <v>43</v>
      </c>
      <c r="B403" s="31">
        <v>43089</v>
      </c>
      <c r="C403" s="28" t="s">
        <v>11</v>
      </c>
      <c r="D403" s="31">
        <v>43089</v>
      </c>
      <c r="E403" s="137"/>
      <c r="F403" s="28">
        <v>1435</v>
      </c>
      <c r="G403" s="32" t="s">
        <v>266</v>
      </c>
      <c r="H403" s="63">
        <v>0</v>
      </c>
      <c r="I403" s="63"/>
      <c r="J403" s="63">
        <f>+'INVENTARIO ABRIL-JUNIO 2021'!$H403-'INVENTARIO ABRIL-JUNIO 2021'!$I403</f>
        <v>0</v>
      </c>
      <c r="K403" s="63"/>
      <c r="L403" s="63"/>
      <c r="M403" s="63"/>
      <c r="N403" s="63"/>
      <c r="O403" s="125"/>
      <c r="P403" s="63"/>
      <c r="Q403" s="63"/>
      <c r="R403" s="63"/>
      <c r="S403" s="63"/>
      <c r="T403" s="63"/>
      <c r="U403" s="63">
        <f>+Tabla1[[#This Row],[STOCK    FISICO ENERO 2021]]-Tabla1[[#This Row],[REQUISICIONES FEBRERO 2021]]</f>
        <v>0</v>
      </c>
      <c r="V403" s="63">
        <f>+Tabla1[[#This Row],[STOCK  FEBRERO 2021]]-Tabla1[[#This Row],[REQUISICIONES MARZO 2021]]+Tabla1[[#This Row],[ENTRADAS MARZO 2021]]</f>
        <v>0</v>
      </c>
      <c r="W403" s="63">
        <f>+Tabla1[[#This Row],[STOCK MARZO 2021]]-Tabla1[[#This Row],[REQUISICIONES ABRIL 2021]]+Tabla1[[#This Row],[ENTRADAS ABRIL 2021]]</f>
        <v>0</v>
      </c>
      <c r="X403" s="63">
        <f>+Tabla1[[#This Row],[STOCK ABRIL 2021]]-Tabla1[[#This Row],[REQUISICIONES MAYO 2021]]+Tabla1[[#This Row],[ENTRADAS MAYO 2021]]</f>
        <v>0</v>
      </c>
      <c r="Y403" s="63">
        <f>+Tabla1[[#This Row],[STOCK MAYO 2021]]-Tabla1[[#This Row],[REQUISICIONES JUNIO 2021]]+Tabla1[[#This Row],[ENTRADAS JUNIO 2021]]</f>
        <v>0</v>
      </c>
      <c r="Z403" s="30" t="s">
        <v>12</v>
      </c>
      <c r="AA403" s="34">
        <v>10.88</v>
      </c>
      <c r="AB403" s="35">
        <f t="shared" si="13"/>
        <v>12.8384</v>
      </c>
      <c r="AC403" s="93">
        <f>Tabla1[[#This Row],[STOCK JUNIO ]]*Tabla1[[#This Row],[COSTO UNITARIO SIN ITBIS]]</f>
        <v>0</v>
      </c>
    </row>
    <row r="404" spans="1:29" s="8" customFormat="1" x14ac:dyDescent="0.25">
      <c r="A404" s="261">
        <v>44</v>
      </c>
      <c r="B404" s="31">
        <v>44168</v>
      </c>
      <c r="C404" s="28" t="s">
        <v>11</v>
      </c>
      <c r="D404" s="31">
        <v>44152</v>
      </c>
      <c r="E404" s="137"/>
      <c r="F404" s="28">
        <v>1436</v>
      </c>
      <c r="G404" s="32" t="s">
        <v>267</v>
      </c>
      <c r="H404" s="63">
        <v>0</v>
      </c>
      <c r="I404" s="63"/>
      <c r="J404" s="63">
        <f>+'INVENTARIO ABRIL-JUNIO 2021'!$H404-'INVENTARIO ABRIL-JUNIO 2021'!$I404</f>
        <v>0</v>
      </c>
      <c r="K404" s="63"/>
      <c r="L404" s="63"/>
      <c r="M404" s="63"/>
      <c r="N404" s="63"/>
      <c r="O404" s="125"/>
      <c r="P404" s="63"/>
      <c r="Q404" s="63"/>
      <c r="R404" s="63"/>
      <c r="S404" s="63"/>
      <c r="T404" s="63"/>
      <c r="U404" s="63">
        <f>+Tabla1[[#This Row],[STOCK    FISICO ENERO 2021]]-Tabla1[[#This Row],[REQUISICIONES FEBRERO 2021]]</f>
        <v>0</v>
      </c>
      <c r="V404" s="63">
        <f>+Tabla1[[#This Row],[STOCK  FEBRERO 2021]]-Tabla1[[#This Row],[REQUISICIONES MARZO 2021]]+Tabla1[[#This Row],[ENTRADAS MARZO 2021]]</f>
        <v>0</v>
      </c>
      <c r="W404" s="63">
        <f>+Tabla1[[#This Row],[STOCK MARZO 2021]]-Tabla1[[#This Row],[REQUISICIONES ABRIL 2021]]+Tabla1[[#This Row],[ENTRADAS ABRIL 2021]]</f>
        <v>0</v>
      </c>
      <c r="X404" s="63">
        <f>+Tabla1[[#This Row],[STOCK ABRIL 2021]]-Tabla1[[#This Row],[REQUISICIONES MAYO 2021]]+Tabla1[[#This Row],[ENTRADAS MAYO 2021]]</f>
        <v>0</v>
      </c>
      <c r="Y404" s="63">
        <f>+Tabla1[[#This Row],[STOCK MAYO 2021]]-Tabla1[[#This Row],[REQUISICIONES JUNIO 2021]]+Tabla1[[#This Row],[ENTRADAS JUNIO 2021]]</f>
        <v>0</v>
      </c>
      <c r="Z404" s="30" t="s">
        <v>12</v>
      </c>
      <c r="AA404" s="34">
        <v>10.88</v>
      </c>
      <c r="AB404" s="35">
        <f t="shared" si="13"/>
        <v>12.8384</v>
      </c>
      <c r="AC404" s="93">
        <f>Tabla1[[#This Row],[STOCK JUNIO ]]*Tabla1[[#This Row],[COSTO UNITARIO SIN ITBIS]]</f>
        <v>0</v>
      </c>
    </row>
    <row r="405" spans="1:29" s="8" customFormat="1" x14ac:dyDescent="0.25">
      <c r="A405" s="261">
        <v>45</v>
      </c>
      <c r="B405" s="31">
        <v>44168</v>
      </c>
      <c r="C405" s="28" t="s">
        <v>11</v>
      </c>
      <c r="D405" s="31">
        <v>44152</v>
      </c>
      <c r="E405" s="137"/>
      <c r="F405" s="28" t="s">
        <v>20</v>
      </c>
      <c r="G405" s="32" t="s">
        <v>268</v>
      </c>
      <c r="H405" s="63">
        <v>6</v>
      </c>
      <c r="I405" s="63"/>
      <c r="J405" s="63">
        <f>+'INVENTARIO ABRIL-JUNIO 2021'!$H405-'INVENTARIO ABRIL-JUNIO 2021'!$I405</f>
        <v>6</v>
      </c>
      <c r="K405" s="63"/>
      <c r="L405" s="63"/>
      <c r="M405" s="63"/>
      <c r="N405" s="63"/>
      <c r="O405" s="125"/>
      <c r="P405" s="63"/>
      <c r="Q405" s="63"/>
      <c r="R405" s="63"/>
      <c r="S405" s="63"/>
      <c r="T405" s="63"/>
      <c r="U405" s="63">
        <f>+Tabla1[[#This Row],[STOCK    FISICO ENERO 2021]]-Tabla1[[#This Row],[REQUISICIONES FEBRERO 2021]]</f>
        <v>6</v>
      </c>
      <c r="V405" s="63">
        <f>+Tabla1[[#This Row],[STOCK  FEBRERO 2021]]-Tabla1[[#This Row],[REQUISICIONES MARZO 2021]]+Tabla1[[#This Row],[ENTRADAS MARZO 2021]]</f>
        <v>6</v>
      </c>
      <c r="W405" s="63">
        <f>+Tabla1[[#This Row],[STOCK MARZO 2021]]-Tabla1[[#This Row],[REQUISICIONES ABRIL 2021]]+Tabla1[[#This Row],[ENTRADAS ABRIL 2021]]</f>
        <v>6</v>
      </c>
      <c r="X405" s="63">
        <f>+Tabla1[[#This Row],[STOCK ABRIL 2021]]-Tabla1[[#This Row],[REQUISICIONES MAYO 2021]]+Tabla1[[#This Row],[ENTRADAS MAYO 2021]]</f>
        <v>6</v>
      </c>
      <c r="Y405" s="63">
        <f>+Tabla1[[#This Row],[STOCK MAYO 2021]]-Tabla1[[#This Row],[REQUISICIONES JUNIO 2021]]+Tabla1[[#This Row],[ENTRADAS JUNIO 2021]]</f>
        <v>6</v>
      </c>
      <c r="Z405" s="30" t="s">
        <v>12</v>
      </c>
      <c r="AA405" s="34">
        <v>0</v>
      </c>
      <c r="AB405" s="35">
        <f t="shared" si="13"/>
        <v>0</v>
      </c>
      <c r="AC405" s="93">
        <f>Tabla1[[#This Row],[STOCK JUNIO ]]*Tabla1[[#This Row],[COSTO UNITARIO SIN ITBIS]]</f>
        <v>0</v>
      </c>
    </row>
    <row r="406" spans="1:29" s="8" customFormat="1" x14ac:dyDescent="0.25">
      <c r="A406" s="261">
        <v>46</v>
      </c>
      <c r="B406" s="31">
        <v>44110</v>
      </c>
      <c r="C406" s="28" t="s">
        <v>11</v>
      </c>
      <c r="D406" s="31">
        <v>44110</v>
      </c>
      <c r="E406" s="137"/>
      <c r="F406" s="28"/>
      <c r="G406" s="32" t="s">
        <v>269</v>
      </c>
      <c r="H406" s="63">
        <v>10</v>
      </c>
      <c r="I406" s="63"/>
      <c r="J406" s="63">
        <f>+'INVENTARIO ABRIL-JUNIO 2021'!$H406-'INVENTARIO ABRIL-JUNIO 2021'!$I406</f>
        <v>10</v>
      </c>
      <c r="K406" s="63"/>
      <c r="L406" s="63"/>
      <c r="M406" s="63"/>
      <c r="N406" s="63"/>
      <c r="O406" s="125"/>
      <c r="P406" s="63"/>
      <c r="Q406" s="63"/>
      <c r="R406" s="63"/>
      <c r="S406" s="63"/>
      <c r="T406" s="63"/>
      <c r="U406" s="63">
        <f>+Tabla1[[#This Row],[STOCK    FISICO ENERO 2021]]-Tabla1[[#This Row],[REQUISICIONES FEBRERO 2021]]</f>
        <v>10</v>
      </c>
      <c r="V406" s="63">
        <f>+Tabla1[[#This Row],[STOCK  FEBRERO 2021]]-Tabla1[[#This Row],[REQUISICIONES MARZO 2021]]+Tabla1[[#This Row],[ENTRADAS MARZO 2021]]</f>
        <v>10</v>
      </c>
      <c r="W406" s="63">
        <f>+Tabla1[[#This Row],[STOCK MARZO 2021]]-Tabla1[[#This Row],[REQUISICIONES ABRIL 2021]]+Tabla1[[#This Row],[ENTRADAS ABRIL 2021]]</f>
        <v>10</v>
      </c>
      <c r="X406" s="63">
        <f>+Tabla1[[#This Row],[STOCK ABRIL 2021]]-Tabla1[[#This Row],[REQUISICIONES MAYO 2021]]+Tabla1[[#This Row],[ENTRADAS MAYO 2021]]</f>
        <v>10</v>
      </c>
      <c r="Y406" s="63">
        <f>+Tabla1[[#This Row],[STOCK MAYO 2021]]-Tabla1[[#This Row],[REQUISICIONES JUNIO 2021]]+Tabla1[[#This Row],[ENTRADAS JUNIO 2021]]</f>
        <v>10</v>
      </c>
      <c r="Z406" s="30" t="s">
        <v>12</v>
      </c>
      <c r="AA406" s="34">
        <v>188.8</v>
      </c>
      <c r="AB406" s="35">
        <f t="shared" si="13"/>
        <v>222.78400000000002</v>
      </c>
      <c r="AC406" s="93">
        <f>Tabla1[[#This Row],[STOCK JUNIO ]]*Tabla1[[#This Row],[COSTO UNITARIO SIN ITBIS]]</f>
        <v>1888</v>
      </c>
    </row>
    <row r="407" spans="1:29" s="8" customFormat="1" x14ac:dyDescent="0.25">
      <c r="A407" s="261">
        <v>47</v>
      </c>
      <c r="B407" s="31">
        <v>44168</v>
      </c>
      <c r="C407" s="28" t="s">
        <v>11</v>
      </c>
      <c r="D407" s="31">
        <v>44152</v>
      </c>
      <c r="E407" s="137"/>
      <c r="F407" s="28"/>
      <c r="G407" s="32" t="s">
        <v>270</v>
      </c>
      <c r="H407" s="63">
        <v>1</v>
      </c>
      <c r="I407" s="63"/>
      <c r="J407" s="63">
        <f>+'INVENTARIO ABRIL-JUNIO 2021'!$H407-'INVENTARIO ABRIL-JUNIO 2021'!$I407</f>
        <v>1</v>
      </c>
      <c r="K407" s="63"/>
      <c r="L407" s="63"/>
      <c r="M407" s="63"/>
      <c r="N407" s="63"/>
      <c r="O407" s="125"/>
      <c r="P407" s="63"/>
      <c r="Q407" s="63"/>
      <c r="R407" s="63"/>
      <c r="S407" s="63"/>
      <c r="T407" s="63"/>
      <c r="U407" s="63">
        <f>+Tabla1[[#This Row],[STOCK    FISICO ENERO 2021]]-Tabla1[[#This Row],[REQUISICIONES FEBRERO 2021]]</f>
        <v>1</v>
      </c>
      <c r="V407" s="63">
        <f>+Tabla1[[#This Row],[STOCK  FEBRERO 2021]]-Tabla1[[#This Row],[REQUISICIONES MARZO 2021]]+Tabla1[[#This Row],[ENTRADAS MARZO 2021]]</f>
        <v>1</v>
      </c>
      <c r="W407" s="63">
        <f>+Tabla1[[#This Row],[STOCK MARZO 2021]]-Tabla1[[#This Row],[REQUISICIONES ABRIL 2021]]+Tabla1[[#This Row],[ENTRADAS ABRIL 2021]]</f>
        <v>1</v>
      </c>
      <c r="X407" s="63">
        <f>+Tabla1[[#This Row],[STOCK ABRIL 2021]]-Tabla1[[#This Row],[REQUISICIONES MAYO 2021]]+Tabla1[[#This Row],[ENTRADAS MAYO 2021]]</f>
        <v>1</v>
      </c>
      <c r="Y407" s="63">
        <f>+Tabla1[[#This Row],[STOCK MAYO 2021]]-Tabla1[[#This Row],[REQUISICIONES JUNIO 2021]]+Tabla1[[#This Row],[ENTRADAS JUNIO 2021]]</f>
        <v>1</v>
      </c>
      <c r="Z407" s="30" t="s">
        <v>12</v>
      </c>
      <c r="AA407" s="34">
        <v>212.4</v>
      </c>
      <c r="AB407" s="35">
        <f t="shared" si="13"/>
        <v>250.63200000000001</v>
      </c>
      <c r="AC407" s="93">
        <f>Tabla1[[#This Row],[STOCK JUNIO ]]*Tabla1[[#This Row],[COSTO UNITARIO SIN ITBIS]]</f>
        <v>212.4</v>
      </c>
    </row>
    <row r="408" spans="1:29" s="8" customFormat="1" x14ac:dyDescent="0.25">
      <c r="A408" s="261">
        <v>48</v>
      </c>
      <c r="B408" s="31">
        <v>44026</v>
      </c>
      <c r="C408" s="28" t="s">
        <v>11</v>
      </c>
      <c r="D408" s="31">
        <v>44026</v>
      </c>
      <c r="E408" s="137"/>
      <c r="F408" s="28">
        <v>1642</v>
      </c>
      <c r="G408" s="32" t="s">
        <v>271</v>
      </c>
      <c r="H408" s="63">
        <v>0</v>
      </c>
      <c r="I408" s="63"/>
      <c r="J408" s="63">
        <f>+'INVENTARIO ABRIL-JUNIO 2021'!$H408-'INVENTARIO ABRIL-JUNIO 2021'!$I408+10</f>
        <v>10</v>
      </c>
      <c r="K408" s="63"/>
      <c r="L408" s="63"/>
      <c r="M408" s="63"/>
      <c r="N408" s="63"/>
      <c r="O408" s="125"/>
      <c r="P408" s="63"/>
      <c r="Q408" s="63"/>
      <c r="R408" s="63"/>
      <c r="S408" s="63"/>
      <c r="T408" s="63">
        <v>2</v>
      </c>
      <c r="U408" s="63">
        <f>+Tabla1[[#This Row],[STOCK    FISICO ENERO 2021]]-Tabla1[[#This Row],[REQUISICIONES FEBRERO 2021]]</f>
        <v>10</v>
      </c>
      <c r="V408" s="63">
        <f>+Tabla1[[#This Row],[STOCK  FEBRERO 2021]]-Tabla1[[#This Row],[REQUISICIONES MARZO 2021]]+Tabla1[[#This Row],[ENTRADAS MARZO 2021]]</f>
        <v>10</v>
      </c>
      <c r="W408" s="63">
        <f>+Tabla1[[#This Row],[STOCK MARZO 2021]]-Tabla1[[#This Row],[REQUISICIONES ABRIL 2021]]+Tabla1[[#This Row],[ENTRADAS ABRIL 2021]]</f>
        <v>10</v>
      </c>
      <c r="X408" s="63">
        <f>+Tabla1[[#This Row],[STOCK ABRIL 2021]]-Tabla1[[#This Row],[REQUISICIONES MAYO 2021]]+Tabla1[[#This Row],[ENTRADAS MAYO 2021]]</f>
        <v>10</v>
      </c>
      <c r="Y408" s="63">
        <f>+Tabla1[[#This Row],[STOCK MAYO 2021]]-Tabla1[[#This Row],[REQUISICIONES JUNIO 2021]]+Tabla1[[#This Row],[ENTRADAS JUNIO 2021]]</f>
        <v>8</v>
      </c>
      <c r="Z408" s="30" t="s">
        <v>12</v>
      </c>
      <c r="AA408" s="34">
        <v>122.5</v>
      </c>
      <c r="AB408" s="35">
        <f t="shared" si="13"/>
        <v>144.55000000000001</v>
      </c>
      <c r="AC408" s="93">
        <f>Tabla1[[#This Row],[STOCK JUNIO ]]*Tabla1[[#This Row],[COSTO UNITARIO SIN ITBIS]]</f>
        <v>980</v>
      </c>
    </row>
    <row r="409" spans="1:29" s="8" customFormat="1" x14ac:dyDescent="0.25">
      <c r="A409" s="261">
        <v>49</v>
      </c>
      <c r="B409" s="31">
        <v>44026</v>
      </c>
      <c r="C409" s="28" t="s">
        <v>11</v>
      </c>
      <c r="D409" s="31">
        <v>44026</v>
      </c>
      <c r="E409" s="137"/>
      <c r="F409" s="28"/>
      <c r="G409" s="32" t="s">
        <v>272</v>
      </c>
      <c r="H409" s="63">
        <v>4</v>
      </c>
      <c r="I409" s="63"/>
      <c r="J409" s="63">
        <f>+'INVENTARIO ABRIL-JUNIO 2021'!$H409-'INVENTARIO ABRIL-JUNIO 2021'!$I409</f>
        <v>4</v>
      </c>
      <c r="K409" s="63"/>
      <c r="L409" s="63"/>
      <c r="M409" s="63"/>
      <c r="N409" s="63"/>
      <c r="O409" s="125"/>
      <c r="P409" s="63"/>
      <c r="Q409" s="63"/>
      <c r="R409" s="63"/>
      <c r="S409" s="63"/>
      <c r="T409" s="63"/>
      <c r="U409" s="63">
        <f>+Tabla1[[#This Row],[STOCK    FISICO ENERO 2021]]-Tabla1[[#This Row],[REQUISICIONES FEBRERO 2021]]</f>
        <v>4</v>
      </c>
      <c r="V409" s="63">
        <f>+Tabla1[[#This Row],[STOCK  FEBRERO 2021]]-Tabla1[[#This Row],[REQUISICIONES MARZO 2021]]+Tabla1[[#This Row],[ENTRADAS MARZO 2021]]</f>
        <v>4</v>
      </c>
      <c r="W409" s="63">
        <f>+Tabla1[[#This Row],[STOCK MARZO 2021]]-Tabla1[[#This Row],[REQUISICIONES ABRIL 2021]]+Tabla1[[#This Row],[ENTRADAS ABRIL 2021]]</f>
        <v>4</v>
      </c>
      <c r="X409" s="63">
        <f>+Tabla1[[#This Row],[STOCK ABRIL 2021]]-Tabla1[[#This Row],[REQUISICIONES MAYO 2021]]+Tabla1[[#This Row],[ENTRADAS MAYO 2021]]</f>
        <v>4</v>
      </c>
      <c r="Y409" s="63">
        <f>+Tabla1[[#This Row],[STOCK MAYO 2021]]-Tabla1[[#This Row],[REQUISICIONES JUNIO 2021]]+Tabla1[[#This Row],[ENTRADAS JUNIO 2021]]</f>
        <v>4</v>
      </c>
      <c r="Z409" s="30" t="s">
        <v>12</v>
      </c>
      <c r="AA409" s="34">
        <v>417.72</v>
      </c>
      <c r="AB409" s="35">
        <f t="shared" si="13"/>
        <v>492.90960000000001</v>
      </c>
      <c r="AC409" s="93">
        <f>Tabla1[[#This Row],[STOCK JUNIO ]]*Tabla1[[#This Row],[COSTO UNITARIO SIN ITBIS]]</f>
        <v>1670.88</v>
      </c>
    </row>
    <row r="410" spans="1:29" s="8" customFormat="1" x14ac:dyDescent="0.25">
      <c r="A410" s="261">
        <v>50</v>
      </c>
      <c r="B410" s="31">
        <v>43453</v>
      </c>
      <c r="C410" s="28" t="s">
        <v>11</v>
      </c>
      <c r="D410" s="31">
        <v>43453</v>
      </c>
      <c r="E410" s="137"/>
      <c r="F410" s="28"/>
      <c r="G410" s="32" t="s">
        <v>273</v>
      </c>
      <c r="H410" s="63">
        <v>4</v>
      </c>
      <c r="I410" s="63"/>
      <c r="J410" s="63">
        <f>+'INVENTARIO ABRIL-JUNIO 2021'!$H410-'INVENTARIO ABRIL-JUNIO 2021'!$I410</f>
        <v>4</v>
      </c>
      <c r="K410" s="63"/>
      <c r="L410" s="63"/>
      <c r="M410" s="63"/>
      <c r="N410" s="63"/>
      <c r="O410" s="125"/>
      <c r="P410" s="63"/>
      <c r="Q410" s="63"/>
      <c r="R410" s="63">
        <v>1</v>
      </c>
      <c r="S410" s="63"/>
      <c r="T410" s="63"/>
      <c r="U410" s="63">
        <f>+Tabla1[[#This Row],[STOCK    FISICO ENERO 2021]]-Tabla1[[#This Row],[REQUISICIONES FEBRERO 2021]]</f>
        <v>4</v>
      </c>
      <c r="V410" s="63">
        <f>+Tabla1[[#This Row],[STOCK  FEBRERO 2021]]-Tabla1[[#This Row],[REQUISICIONES MARZO 2021]]+Tabla1[[#This Row],[ENTRADAS MARZO 2021]]</f>
        <v>4</v>
      </c>
      <c r="W410" s="63">
        <f>+Tabla1[[#This Row],[STOCK MARZO 2021]]-Tabla1[[#This Row],[REQUISICIONES ABRIL 2021]]+Tabla1[[#This Row],[ENTRADAS ABRIL 2021]]</f>
        <v>3</v>
      </c>
      <c r="X410" s="63">
        <f>+Tabla1[[#This Row],[STOCK ABRIL 2021]]-Tabla1[[#This Row],[REQUISICIONES MAYO 2021]]+Tabla1[[#This Row],[ENTRADAS MAYO 2021]]</f>
        <v>3</v>
      </c>
      <c r="Y410" s="63">
        <f>+Tabla1[[#This Row],[STOCK MAYO 2021]]-Tabla1[[#This Row],[REQUISICIONES JUNIO 2021]]+Tabla1[[#This Row],[ENTRADAS JUNIO 2021]]</f>
        <v>3</v>
      </c>
      <c r="Z410" s="30" t="s">
        <v>12</v>
      </c>
      <c r="AA410" s="34">
        <v>417.72</v>
      </c>
      <c r="AB410" s="35">
        <f t="shared" si="13"/>
        <v>492.90960000000001</v>
      </c>
      <c r="AC410" s="93">
        <f>Tabla1[[#This Row],[STOCK JUNIO ]]*Tabla1[[#This Row],[COSTO UNITARIO SIN ITBIS]]</f>
        <v>1253.1600000000001</v>
      </c>
    </row>
    <row r="411" spans="1:29" s="8" customFormat="1" x14ac:dyDescent="0.25">
      <c r="A411" s="261">
        <v>51</v>
      </c>
      <c r="B411" s="31">
        <v>43453</v>
      </c>
      <c r="C411" s="28" t="s">
        <v>11</v>
      </c>
      <c r="D411" s="31">
        <v>43453</v>
      </c>
      <c r="E411" s="137"/>
      <c r="F411" s="28">
        <v>1606</v>
      </c>
      <c r="G411" s="32" t="s">
        <v>274</v>
      </c>
      <c r="H411" s="63">
        <v>30</v>
      </c>
      <c r="I411" s="63"/>
      <c r="J411" s="63">
        <f>+'INVENTARIO ABRIL-JUNIO 2021'!$H411-'INVENTARIO ABRIL-JUNIO 2021'!$I411</f>
        <v>30</v>
      </c>
      <c r="K411" s="63"/>
      <c r="L411" s="63"/>
      <c r="M411" s="63"/>
      <c r="N411" s="63"/>
      <c r="O411" s="125"/>
      <c r="P411" s="63"/>
      <c r="Q411" s="63"/>
      <c r="R411" s="63"/>
      <c r="S411" s="63"/>
      <c r="T411" s="63"/>
      <c r="U411" s="63">
        <f>+Tabla1[[#This Row],[STOCK    FISICO ENERO 2021]]-Tabla1[[#This Row],[REQUISICIONES FEBRERO 2021]]</f>
        <v>30</v>
      </c>
      <c r="V411" s="63">
        <f>+Tabla1[[#This Row],[STOCK  FEBRERO 2021]]-Tabla1[[#This Row],[REQUISICIONES MARZO 2021]]+Tabla1[[#This Row],[ENTRADAS MARZO 2021]]</f>
        <v>30</v>
      </c>
      <c r="W411" s="63">
        <f>+Tabla1[[#This Row],[STOCK MARZO 2021]]-Tabla1[[#This Row],[REQUISICIONES ABRIL 2021]]+Tabla1[[#This Row],[ENTRADAS ABRIL 2021]]</f>
        <v>30</v>
      </c>
      <c r="X411" s="63">
        <f>+Tabla1[[#This Row],[STOCK ABRIL 2021]]-Tabla1[[#This Row],[REQUISICIONES MAYO 2021]]+Tabla1[[#This Row],[ENTRADAS MAYO 2021]]</f>
        <v>30</v>
      </c>
      <c r="Y411" s="63">
        <f>+Tabla1[[#This Row],[STOCK MAYO 2021]]-Tabla1[[#This Row],[REQUISICIONES JUNIO 2021]]+Tabla1[[#This Row],[ENTRADAS JUNIO 2021]]</f>
        <v>30</v>
      </c>
      <c r="Z411" s="30" t="s">
        <v>12</v>
      </c>
      <c r="AA411" s="34">
        <v>270</v>
      </c>
      <c r="AB411" s="35">
        <f t="shared" si="13"/>
        <v>318.60000000000002</v>
      </c>
      <c r="AC411" s="93">
        <f>Tabla1[[#This Row],[STOCK JUNIO ]]*Tabla1[[#This Row],[COSTO UNITARIO SIN ITBIS]]</f>
        <v>8100</v>
      </c>
    </row>
    <row r="412" spans="1:29" s="8" customFormat="1" x14ac:dyDescent="0.25">
      <c r="A412" s="261">
        <v>52</v>
      </c>
      <c r="B412" s="31">
        <v>44110</v>
      </c>
      <c r="C412" s="28" t="s">
        <v>11</v>
      </c>
      <c r="D412" s="31">
        <v>44110</v>
      </c>
      <c r="E412" s="137"/>
      <c r="F412" s="28"/>
      <c r="G412" s="32" t="s">
        <v>275</v>
      </c>
      <c r="H412" s="63">
        <v>0</v>
      </c>
      <c r="I412" s="63"/>
      <c r="J412" s="63">
        <f>+'INVENTARIO ABRIL-JUNIO 2021'!$H412-'INVENTARIO ABRIL-JUNIO 2021'!$I412</f>
        <v>0</v>
      </c>
      <c r="K412" s="63"/>
      <c r="L412" s="63"/>
      <c r="M412" s="63"/>
      <c r="N412" s="63"/>
      <c r="O412" s="125"/>
      <c r="P412" s="63"/>
      <c r="Q412" s="63"/>
      <c r="R412" s="63"/>
      <c r="S412" s="63"/>
      <c r="T412" s="63"/>
      <c r="U412" s="63">
        <f>+Tabla1[[#This Row],[STOCK    FISICO ENERO 2021]]-Tabla1[[#This Row],[REQUISICIONES FEBRERO 2021]]</f>
        <v>0</v>
      </c>
      <c r="V412" s="63">
        <f>+Tabla1[[#This Row],[STOCK  FEBRERO 2021]]-Tabla1[[#This Row],[REQUISICIONES MARZO 2021]]+Tabla1[[#This Row],[ENTRADAS MARZO 2021]]</f>
        <v>0</v>
      </c>
      <c r="W412" s="63">
        <f>+Tabla1[[#This Row],[STOCK MARZO 2021]]-Tabla1[[#This Row],[REQUISICIONES ABRIL 2021]]+Tabla1[[#This Row],[ENTRADAS ABRIL 2021]]</f>
        <v>0</v>
      </c>
      <c r="X412" s="63">
        <f>+Tabla1[[#This Row],[STOCK ABRIL 2021]]-Tabla1[[#This Row],[REQUISICIONES MAYO 2021]]+Tabla1[[#This Row],[ENTRADAS MAYO 2021]]</f>
        <v>0</v>
      </c>
      <c r="Y412" s="63">
        <f>+Tabla1[[#This Row],[STOCK MAYO 2021]]-Tabla1[[#This Row],[REQUISICIONES JUNIO 2021]]+Tabla1[[#This Row],[ENTRADAS JUNIO 2021]]</f>
        <v>0</v>
      </c>
      <c r="Z412" s="30" t="s">
        <v>12</v>
      </c>
      <c r="AA412" s="34">
        <v>1180</v>
      </c>
      <c r="AB412" s="35">
        <f t="shared" si="13"/>
        <v>1392.4</v>
      </c>
      <c r="AC412" s="93">
        <f>Tabla1[[#This Row],[STOCK JUNIO ]]*Tabla1[[#This Row],[COSTO UNITARIO SIN ITBIS]]</f>
        <v>0</v>
      </c>
    </row>
    <row r="413" spans="1:29" s="8" customFormat="1" x14ac:dyDescent="0.25">
      <c r="A413" s="261">
        <v>53</v>
      </c>
      <c r="B413" s="31">
        <v>44168</v>
      </c>
      <c r="C413" s="28" t="s">
        <v>11</v>
      </c>
      <c r="D413" s="31">
        <v>44152</v>
      </c>
      <c r="E413" s="137"/>
      <c r="F413" s="69">
        <v>1725</v>
      </c>
      <c r="G413" s="32" t="s">
        <v>878</v>
      </c>
      <c r="H413" s="63">
        <v>4</v>
      </c>
      <c r="I413" s="63"/>
      <c r="J413" s="63">
        <f>230*3</f>
        <v>690</v>
      </c>
      <c r="K413" s="63"/>
      <c r="L413" s="63"/>
      <c r="M413" s="63"/>
      <c r="N413" s="196"/>
      <c r="O413" s="125"/>
      <c r="P413" s="63"/>
      <c r="Q413" s="63"/>
      <c r="R413" s="63"/>
      <c r="S413" s="63">
        <f>30+30+100</f>
        <v>160</v>
      </c>
      <c r="T413" s="63">
        <v>40</v>
      </c>
      <c r="U413" s="125">
        <f>+Tabla1[[#This Row],[STOCK    FISICO ENERO 2021]]-Tabla1[[#This Row],[REQUISICIONES FEBRERO 2021]]</f>
        <v>690</v>
      </c>
      <c r="V413" s="125">
        <f>+Tabla1[[#This Row],[STOCK  FEBRERO 2021]]-Tabla1[[#This Row],[REQUISICIONES MARZO 2021]]+Tabla1[[#This Row],[ENTRADAS MARZO 2021]]</f>
        <v>690</v>
      </c>
      <c r="W413" s="125">
        <f>+Tabla1[[#This Row],[STOCK MARZO 2021]]-Tabla1[[#This Row],[REQUISICIONES ABRIL 2021]]+Tabla1[[#This Row],[ENTRADAS ABRIL 2021]]</f>
        <v>690</v>
      </c>
      <c r="X413" s="125">
        <f>+Tabla1[[#This Row],[STOCK ABRIL 2021]]-Tabla1[[#This Row],[REQUISICIONES MAYO 2021]]+Tabla1[[#This Row],[ENTRADAS MAYO 2021]]</f>
        <v>530</v>
      </c>
      <c r="Y413" s="240">
        <f>+Tabla1[[#This Row],[STOCK MAYO 2021]]-Tabla1[[#This Row],[REQUISICIONES JUNIO 2021]]+Tabla1[[#This Row],[ENTRADAS JUNIO 2021]]</f>
        <v>490</v>
      </c>
      <c r="Z413" s="91" t="s">
        <v>12</v>
      </c>
      <c r="AA413" s="34">
        <f>966.12/230</f>
        <v>4.2005217391304344</v>
      </c>
      <c r="AB413" s="35">
        <f t="shared" ref="AB413" si="14">AA413*0.18+AA413</f>
        <v>4.9566156521739124</v>
      </c>
      <c r="AC413" s="93">
        <f>Tabla1[[#This Row],[STOCK JUNIO ]]*Tabla1[[#This Row],[COSTO UNITARIO SIN ITBIS]]</f>
        <v>2058.2556521739129</v>
      </c>
    </row>
    <row r="414" spans="1:29" s="8" customFormat="1" x14ac:dyDescent="0.25">
      <c r="A414" s="261">
        <v>54</v>
      </c>
      <c r="B414" s="31">
        <v>44026</v>
      </c>
      <c r="C414" s="28" t="s">
        <v>11</v>
      </c>
      <c r="D414" s="31">
        <v>44026</v>
      </c>
      <c r="E414" s="137"/>
      <c r="F414" s="28">
        <v>1597</v>
      </c>
      <c r="G414" s="32" t="s">
        <v>276</v>
      </c>
      <c r="H414" s="63"/>
      <c r="I414" s="63"/>
      <c r="J414" s="63">
        <f>+'INVENTARIO ABRIL-JUNIO 2021'!$H414-'INVENTARIO ABRIL-JUNIO 2021'!$I414</f>
        <v>0</v>
      </c>
      <c r="K414" s="63"/>
      <c r="L414" s="63"/>
      <c r="M414" s="63"/>
      <c r="N414" s="63"/>
      <c r="O414" s="125"/>
      <c r="P414" s="63"/>
      <c r="Q414" s="63"/>
      <c r="R414" s="63"/>
      <c r="S414" s="63"/>
      <c r="T414" s="63"/>
      <c r="U414" s="63">
        <f>+Tabla1[[#This Row],[STOCK    FISICO ENERO 2021]]-Tabla1[[#This Row],[REQUISICIONES FEBRERO 2021]]</f>
        <v>0</v>
      </c>
      <c r="V414" s="63">
        <f>+Tabla1[[#This Row],[STOCK  FEBRERO 2021]]-Tabla1[[#This Row],[REQUISICIONES MARZO 2021]]+Tabla1[[#This Row],[ENTRADAS MARZO 2021]]</f>
        <v>0</v>
      </c>
      <c r="W414" s="63">
        <f>+Tabla1[[#This Row],[STOCK MARZO 2021]]-Tabla1[[#This Row],[REQUISICIONES ABRIL 2021]]+Tabla1[[#This Row],[ENTRADAS ABRIL 2021]]</f>
        <v>0</v>
      </c>
      <c r="X414" s="63">
        <f>+Tabla1[[#This Row],[STOCK ABRIL 2021]]-Tabla1[[#This Row],[REQUISICIONES MAYO 2021]]+Tabla1[[#This Row],[ENTRADAS MAYO 2021]]</f>
        <v>0</v>
      </c>
      <c r="Y414" s="63">
        <f>+Tabla1[[#This Row],[STOCK MAYO 2021]]-Tabla1[[#This Row],[REQUISICIONES JUNIO 2021]]+Tabla1[[#This Row],[ENTRADAS JUNIO 2021]]</f>
        <v>0</v>
      </c>
      <c r="Z414" s="30" t="s">
        <v>12</v>
      </c>
      <c r="AA414" s="34">
        <v>178.8</v>
      </c>
      <c r="AB414" s="35">
        <f t="shared" si="13"/>
        <v>210.98400000000001</v>
      </c>
      <c r="AC414" s="93">
        <f>Tabla1[[#This Row],[STOCK JUNIO ]]*Tabla1[[#This Row],[COSTO UNITARIO SIN ITBIS]]</f>
        <v>0</v>
      </c>
    </row>
    <row r="415" spans="1:29" s="8" customFormat="1" ht="15.75" customHeight="1" x14ac:dyDescent="0.25">
      <c r="A415" s="261">
        <v>55</v>
      </c>
      <c r="B415" s="31">
        <v>43223</v>
      </c>
      <c r="C415" s="28" t="s">
        <v>11</v>
      </c>
      <c r="D415" s="31">
        <v>43223</v>
      </c>
      <c r="E415" s="137"/>
      <c r="F415" s="28"/>
      <c r="G415" s="32" t="s">
        <v>277</v>
      </c>
      <c r="H415" s="63">
        <v>11</v>
      </c>
      <c r="I415" s="63"/>
      <c r="J415" s="63">
        <f>+'INVENTARIO ABRIL-JUNIO 2021'!$H415-'INVENTARIO ABRIL-JUNIO 2021'!$I415</f>
        <v>11</v>
      </c>
      <c r="K415" s="63"/>
      <c r="L415" s="63"/>
      <c r="M415" s="63"/>
      <c r="N415" s="63"/>
      <c r="O415" s="125"/>
      <c r="P415" s="63"/>
      <c r="Q415" s="63"/>
      <c r="R415" s="63"/>
      <c r="S415" s="63"/>
      <c r="T415" s="63"/>
      <c r="U415" s="63">
        <f>+Tabla1[[#This Row],[STOCK    FISICO ENERO 2021]]-Tabla1[[#This Row],[REQUISICIONES FEBRERO 2021]]</f>
        <v>11</v>
      </c>
      <c r="V415" s="63">
        <f>+Tabla1[[#This Row],[STOCK  FEBRERO 2021]]-Tabla1[[#This Row],[REQUISICIONES MARZO 2021]]+Tabla1[[#This Row],[ENTRADAS MARZO 2021]]</f>
        <v>11</v>
      </c>
      <c r="W415" s="63">
        <f>+Tabla1[[#This Row],[STOCK MARZO 2021]]-Tabla1[[#This Row],[REQUISICIONES ABRIL 2021]]+Tabla1[[#This Row],[ENTRADAS ABRIL 2021]]</f>
        <v>11</v>
      </c>
      <c r="X415" s="63">
        <f>+Tabla1[[#This Row],[STOCK ABRIL 2021]]-Tabla1[[#This Row],[REQUISICIONES MAYO 2021]]+Tabla1[[#This Row],[ENTRADAS MAYO 2021]]</f>
        <v>11</v>
      </c>
      <c r="Y415" s="63">
        <f>+Tabla1[[#This Row],[STOCK MAYO 2021]]-Tabla1[[#This Row],[REQUISICIONES JUNIO 2021]]+Tabla1[[#This Row],[ENTRADAS JUNIO 2021]]</f>
        <v>11</v>
      </c>
      <c r="Z415" s="30" t="s">
        <v>12</v>
      </c>
      <c r="AA415" s="34">
        <v>590</v>
      </c>
      <c r="AB415" s="35">
        <f t="shared" si="13"/>
        <v>696.2</v>
      </c>
      <c r="AC415" s="93">
        <f>Tabla1[[#This Row],[STOCK JUNIO ]]*Tabla1[[#This Row],[COSTO UNITARIO SIN ITBIS]]</f>
        <v>6490</v>
      </c>
    </row>
    <row r="416" spans="1:29" s="8" customFormat="1" x14ac:dyDescent="0.25">
      <c r="A416" s="261">
        <v>56</v>
      </c>
      <c r="B416" s="31">
        <v>44026</v>
      </c>
      <c r="C416" s="28" t="s">
        <v>11</v>
      </c>
      <c r="D416" s="31">
        <v>44026</v>
      </c>
      <c r="E416" s="137"/>
      <c r="F416" s="71"/>
      <c r="G416" s="32" t="s">
        <v>278</v>
      </c>
      <c r="H416" s="63">
        <v>4</v>
      </c>
      <c r="I416" s="63"/>
      <c r="J416" s="63">
        <f>+'INVENTARIO ABRIL-JUNIO 2021'!$H416-'INVENTARIO ABRIL-JUNIO 2021'!$I416</f>
        <v>4</v>
      </c>
      <c r="K416" s="63"/>
      <c r="L416" s="63"/>
      <c r="M416" s="63"/>
      <c r="N416" s="63"/>
      <c r="O416" s="125"/>
      <c r="P416" s="63"/>
      <c r="Q416" s="63"/>
      <c r="R416" s="63"/>
      <c r="S416" s="63"/>
      <c r="T416" s="63"/>
      <c r="U416" s="63">
        <f>+Tabla1[[#This Row],[STOCK    FISICO ENERO 2021]]-Tabla1[[#This Row],[REQUISICIONES FEBRERO 2021]]</f>
        <v>4</v>
      </c>
      <c r="V416" s="63">
        <f>+Tabla1[[#This Row],[STOCK  FEBRERO 2021]]-Tabla1[[#This Row],[REQUISICIONES MARZO 2021]]+Tabla1[[#This Row],[ENTRADAS MARZO 2021]]</f>
        <v>4</v>
      </c>
      <c r="W416" s="63">
        <f>+Tabla1[[#This Row],[STOCK MARZO 2021]]-Tabla1[[#This Row],[REQUISICIONES ABRIL 2021]]+Tabla1[[#This Row],[ENTRADAS ABRIL 2021]]</f>
        <v>4</v>
      </c>
      <c r="X416" s="63">
        <f>+Tabla1[[#This Row],[STOCK ABRIL 2021]]-Tabla1[[#This Row],[REQUISICIONES MAYO 2021]]+Tabla1[[#This Row],[ENTRADAS MAYO 2021]]</f>
        <v>4</v>
      </c>
      <c r="Y416" s="63">
        <f>+Tabla1[[#This Row],[STOCK MAYO 2021]]-Tabla1[[#This Row],[REQUISICIONES JUNIO 2021]]+Tabla1[[#This Row],[ENTRADAS JUNIO 2021]]</f>
        <v>4</v>
      </c>
      <c r="Z416" s="30" t="s">
        <v>12</v>
      </c>
      <c r="AA416" s="34">
        <v>277.14</v>
      </c>
      <c r="AB416" s="35">
        <f t="shared" si="13"/>
        <v>327.02519999999998</v>
      </c>
      <c r="AC416" s="93">
        <f>Tabla1[[#This Row],[STOCK JUNIO ]]*Tabla1[[#This Row],[COSTO UNITARIO SIN ITBIS]]</f>
        <v>1108.56</v>
      </c>
    </row>
    <row r="417" spans="1:29" s="8" customFormat="1" x14ac:dyDescent="0.25">
      <c r="A417" s="261">
        <v>57</v>
      </c>
      <c r="B417" s="31">
        <v>44026</v>
      </c>
      <c r="C417" s="28" t="s">
        <v>11</v>
      </c>
      <c r="D417" s="31">
        <v>44026</v>
      </c>
      <c r="E417" s="137"/>
      <c r="F417" s="28">
        <v>1627</v>
      </c>
      <c r="G417" s="32" t="s">
        <v>279</v>
      </c>
      <c r="H417" s="63">
        <v>0</v>
      </c>
      <c r="I417" s="63"/>
      <c r="J417" s="63">
        <f>+'INVENTARIO ABRIL-JUNIO 2021'!$H417-'INVENTARIO ABRIL-JUNIO 2021'!$I417</f>
        <v>0</v>
      </c>
      <c r="K417" s="63"/>
      <c r="L417" s="63"/>
      <c r="M417" s="63"/>
      <c r="N417" s="63"/>
      <c r="O417" s="125"/>
      <c r="P417" s="63"/>
      <c r="Q417" s="63"/>
      <c r="R417" s="63"/>
      <c r="S417" s="63"/>
      <c r="T417" s="63"/>
      <c r="U417" s="63">
        <f>+Tabla1[[#This Row],[STOCK    FISICO ENERO 2021]]-Tabla1[[#This Row],[REQUISICIONES FEBRERO 2021]]</f>
        <v>0</v>
      </c>
      <c r="V417" s="63">
        <f>+Tabla1[[#This Row],[STOCK  FEBRERO 2021]]-Tabla1[[#This Row],[REQUISICIONES MARZO 2021]]+Tabla1[[#This Row],[ENTRADAS MARZO 2021]]</f>
        <v>0</v>
      </c>
      <c r="W417" s="63">
        <f>+Tabla1[[#This Row],[STOCK MARZO 2021]]-Tabla1[[#This Row],[REQUISICIONES ABRIL 2021]]+Tabla1[[#This Row],[ENTRADAS ABRIL 2021]]</f>
        <v>0</v>
      </c>
      <c r="X417" s="63">
        <f>+Tabla1[[#This Row],[STOCK ABRIL 2021]]-Tabla1[[#This Row],[REQUISICIONES MAYO 2021]]+Tabla1[[#This Row],[ENTRADAS MAYO 2021]]</f>
        <v>0</v>
      </c>
      <c r="Y417" s="63">
        <f>+Tabla1[[#This Row],[STOCK MAYO 2021]]-Tabla1[[#This Row],[REQUISICIONES JUNIO 2021]]+Tabla1[[#This Row],[ENTRADAS JUNIO 2021]]</f>
        <v>0</v>
      </c>
      <c r="Z417" s="30" t="s">
        <v>105</v>
      </c>
      <c r="AA417" s="34">
        <v>148.82</v>
      </c>
      <c r="AB417" s="35">
        <f t="shared" si="13"/>
        <v>175.60759999999999</v>
      </c>
      <c r="AC417" s="93">
        <f>Tabla1[[#This Row],[STOCK JUNIO ]]*Tabla1[[#This Row],[COSTO UNITARIO SIN ITBIS]]</f>
        <v>0</v>
      </c>
    </row>
    <row r="418" spans="1:29" s="8" customFormat="1" x14ac:dyDescent="0.25">
      <c r="A418" s="261">
        <v>58</v>
      </c>
      <c r="B418" s="31">
        <v>44026</v>
      </c>
      <c r="C418" s="28" t="s">
        <v>11</v>
      </c>
      <c r="D418" s="31">
        <v>44026</v>
      </c>
      <c r="E418" s="137"/>
      <c r="F418" s="28">
        <v>1100</v>
      </c>
      <c r="G418" s="32" t="s">
        <v>280</v>
      </c>
      <c r="H418" s="63">
        <f>62+4</f>
        <v>66</v>
      </c>
      <c r="I418" s="63"/>
      <c r="J418" s="63">
        <f>+'INVENTARIO ABRIL-JUNIO 2021'!$H418-'INVENTARIO ABRIL-JUNIO 2021'!$I418</f>
        <v>66</v>
      </c>
      <c r="K418" s="63"/>
      <c r="L418" s="63"/>
      <c r="M418" s="63"/>
      <c r="N418" s="63"/>
      <c r="O418" s="125"/>
      <c r="P418" s="63"/>
      <c r="Q418" s="63"/>
      <c r="R418" s="63">
        <f>1+1+1+1</f>
        <v>4</v>
      </c>
      <c r="S418" s="63"/>
      <c r="T418" s="63">
        <f>1+1</f>
        <v>2</v>
      </c>
      <c r="U418" s="63">
        <f>+Tabla1[[#This Row],[STOCK    FISICO ENERO 2021]]-Tabla1[[#This Row],[REQUISICIONES FEBRERO 2021]]</f>
        <v>66</v>
      </c>
      <c r="V418" s="63">
        <f>+Tabla1[[#This Row],[STOCK  FEBRERO 2021]]-Tabla1[[#This Row],[REQUISICIONES MARZO 2021]]+Tabla1[[#This Row],[ENTRADAS MARZO 2021]]</f>
        <v>66</v>
      </c>
      <c r="W418" s="63">
        <f>+Tabla1[[#This Row],[STOCK MARZO 2021]]-Tabla1[[#This Row],[REQUISICIONES ABRIL 2021]]+Tabla1[[#This Row],[ENTRADAS ABRIL 2021]]</f>
        <v>62</v>
      </c>
      <c r="X418" s="63">
        <f>+Tabla1[[#This Row],[STOCK ABRIL 2021]]-Tabla1[[#This Row],[REQUISICIONES MAYO 2021]]+Tabla1[[#This Row],[ENTRADAS MAYO 2021]]</f>
        <v>62</v>
      </c>
      <c r="Y418" s="63">
        <f>+Tabla1[[#This Row],[STOCK MAYO 2021]]-Tabla1[[#This Row],[REQUISICIONES JUNIO 2021]]+Tabla1[[#This Row],[ENTRADAS JUNIO 2021]]</f>
        <v>60</v>
      </c>
      <c r="Z418" s="30" t="s">
        <v>12</v>
      </c>
      <c r="AA418" s="34">
        <v>75</v>
      </c>
      <c r="AB418" s="35">
        <f t="shared" si="13"/>
        <v>88.5</v>
      </c>
      <c r="AC418" s="93">
        <f>Tabla1[[#This Row],[STOCK JUNIO ]]*Tabla1[[#This Row],[COSTO UNITARIO SIN ITBIS]]</f>
        <v>4500</v>
      </c>
    </row>
    <row r="419" spans="1:29" s="8" customFormat="1" x14ac:dyDescent="0.25">
      <c r="A419" s="261">
        <v>59</v>
      </c>
      <c r="B419" s="31">
        <v>43080</v>
      </c>
      <c r="C419" s="28" t="s">
        <v>11</v>
      </c>
      <c r="D419" s="31">
        <v>43080</v>
      </c>
      <c r="E419" s="137"/>
      <c r="F419" s="28">
        <v>1098</v>
      </c>
      <c r="G419" s="32" t="s">
        <v>281</v>
      </c>
      <c r="H419" s="63">
        <f>71+22</f>
        <v>93</v>
      </c>
      <c r="I419" s="63"/>
      <c r="J419" s="63">
        <f>+'INVENTARIO ABRIL-JUNIO 2021'!$H419-'INVENTARIO ABRIL-JUNIO 2021'!$I419</f>
        <v>93</v>
      </c>
      <c r="K419" s="63"/>
      <c r="L419" s="63"/>
      <c r="M419" s="63"/>
      <c r="N419" s="63"/>
      <c r="O419" s="125"/>
      <c r="P419" s="63"/>
      <c r="Q419" s="63">
        <v>1</v>
      </c>
      <c r="R419" s="63">
        <v>1</v>
      </c>
      <c r="S419" s="63"/>
      <c r="T419" s="63"/>
      <c r="U419" s="63">
        <f>+Tabla1[[#This Row],[STOCK    FISICO ENERO 2021]]-Tabla1[[#This Row],[REQUISICIONES FEBRERO 2021]]</f>
        <v>93</v>
      </c>
      <c r="V419" s="63">
        <f>+Tabla1[[#This Row],[STOCK  FEBRERO 2021]]-Tabla1[[#This Row],[REQUISICIONES MARZO 2021]]+Tabla1[[#This Row],[ENTRADAS MARZO 2021]]</f>
        <v>92</v>
      </c>
      <c r="W419" s="63">
        <f>+Tabla1[[#This Row],[STOCK MARZO 2021]]-Tabla1[[#This Row],[REQUISICIONES ABRIL 2021]]+Tabla1[[#This Row],[ENTRADAS ABRIL 2021]]</f>
        <v>91</v>
      </c>
      <c r="X419" s="63">
        <f>+Tabla1[[#This Row],[STOCK ABRIL 2021]]-Tabla1[[#This Row],[REQUISICIONES MAYO 2021]]+Tabla1[[#This Row],[ENTRADAS MAYO 2021]]</f>
        <v>91</v>
      </c>
      <c r="Y419" s="63">
        <f>+Tabla1[[#This Row],[STOCK MAYO 2021]]-Tabla1[[#This Row],[REQUISICIONES JUNIO 2021]]+Tabla1[[#This Row],[ENTRADAS JUNIO 2021]]</f>
        <v>91</v>
      </c>
      <c r="Z419" s="30" t="s">
        <v>12</v>
      </c>
      <c r="AA419" s="34">
        <v>75</v>
      </c>
      <c r="AB419" s="35">
        <f t="shared" si="13"/>
        <v>88.5</v>
      </c>
      <c r="AC419" s="93">
        <f>Tabla1[[#This Row],[STOCK JUNIO ]]*Tabla1[[#This Row],[COSTO UNITARIO SIN ITBIS]]</f>
        <v>6825</v>
      </c>
    </row>
    <row r="420" spans="1:29" s="8" customFormat="1" x14ac:dyDescent="0.25">
      <c r="A420" s="261">
        <v>60</v>
      </c>
      <c r="B420" s="31">
        <v>43089</v>
      </c>
      <c r="C420" s="28" t="s">
        <v>11</v>
      </c>
      <c r="D420" s="31">
        <v>43089</v>
      </c>
      <c r="E420" s="137"/>
      <c r="F420" s="28">
        <v>1099</v>
      </c>
      <c r="G420" s="32" t="s">
        <v>282</v>
      </c>
      <c r="H420" s="63">
        <v>39</v>
      </c>
      <c r="I420" s="63"/>
      <c r="J420" s="63">
        <f>+'INVENTARIO ABRIL-JUNIO 2021'!$H420-'INVENTARIO ABRIL-JUNIO 2021'!$I420</f>
        <v>39</v>
      </c>
      <c r="K420" s="63"/>
      <c r="L420" s="63"/>
      <c r="M420" s="63"/>
      <c r="N420" s="63"/>
      <c r="O420" s="125"/>
      <c r="P420" s="63"/>
      <c r="Q420" s="63"/>
      <c r="R420" s="63"/>
      <c r="S420" s="63"/>
      <c r="T420" s="63"/>
      <c r="U420" s="63">
        <f>+Tabla1[[#This Row],[STOCK    FISICO ENERO 2021]]-Tabla1[[#This Row],[REQUISICIONES FEBRERO 2021]]</f>
        <v>39</v>
      </c>
      <c r="V420" s="63">
        <f>+Tabla1[[#This Row],[STOCK  FEBRERO 2021]]-Tabla1[[#This Row],[REQUISICIONES MARZO 2021]]+Tabla1[[#This Row],[ENTRADAS MARZO 2021]]</f>
        <v>39</v>
      </c>
      <c r="W420" s="63">
        <f>+Tabla1[[#This Row],[STOCK MARZO 2021]]-Tabla1[[#This Row],[REQUISICIONES ABRIL 2021]]+Tabla1[[#This Row],[ENTRADAS ABRIL 2021]]</f>
        <v>39</v>
      </c>
      <c r="X420" s="63">
        <f>+Tabla1[[#This Row],[STOCK ABRIL 2021]]-Tabla1[[#This Row],[REQUISICIONES MAYO 2021]]+Tabla1[[#This Row],[ENTRADAS MAYO 2021]]</f>
        <v>39</v>
      </c>
      <c r="Y420" s="63">
        <f>+Tabla1[[#This Row],[STOCK MAYO 2021]]-Tabla1[[#This Row],[REQUISICIONES JUNIO 2021]]+Tabla1[[#This Row],[ENTRADAS JUNIO 2021]]</f>
        <v>39</v>
      </c>
      <c r="Z420" s="30" t="s">
        <v>12</v>
      </c>
      <c r="AA420" s="34">
        <v>75</v>
      </c>
      <c r="AB420" s="35">
        <f t="shared" si="13"/>
        <v>88.5</v>
      </c>
      <c r="AC420" s="93">
        <f>Tabla1[[#This Row],[STOCK JUNIO ]]*Tabla1[[#This Row],[COSTO UNITARIO SIN ITBIS]]</f>
        <v>2925</v>
      </c>
    </row>
    <row r="421" spans="1:29" s="8" customFormat="1" x14ac:dyDescent="0.25">
      <c r="A421" s="261">
        <v>61</v>
      </c>
      <c r="B421" s="31">
        <v>43089</v>
      </c>
      <c r="C421" s="28" t="s">
        <v>11</v>
      </c>
      <c r="D421" s="31">
        <v>43089</v>
      </c>
      <c r="E421" s="137"/>
      <c r="F421" s="28"/>
      <c r="G421" s="32" t="s">
        <v>796</v>
      </c>
      <c r="H421" s="63">
        <v>8</v>
      </c>
      <c r="I421" s="63"/>
      <c r="J421" s="63">
        <f>+'INVENTARIO ABRIL-JUNIO 2021'!$H421-'INVENTARIO ABRIL-JUNIO 2021'!$I421</f>
        <v>8</v>
      </c>
      <c r="K421" s="63"/>
      <c r="L421" s="63"/>
      <c r="M421" s="63"/>
      <c r="N421" s="63"/>
      <c r="O421" s="125"/>
      <c r="P421" s="63"/>
      <c r="Q421" s="63"/>
      <c r="R421" s="63"/>
      <c r="S421" s="63"/>
      <c r="T421" s="63"/>
      <c r="U421" s="63">
        <f>+Tabla1[[#This Row],[STOCK    FISICO ENERO 2021]]-Tabla1[[#This Row],[REQUISICIONES FEBRERO 2021]]</f>
        <v>8</v>
      </c>
      <c r="V421" s="63">
        <f>+Tabla1[[#This Row],[STOCK  FEBRERO 2021]]-Tabla1[[#This Row],[REQUISICIONES MARZO 2021]]+Tabla1[[#This Row],[ENTRADAS MARZO 2021]]</f>
        <v>8</v>
      </c>
      <c r="W421" s="63">
        <f>+Tabla1[[#This Row],[STOCK MARZO 2021]]-Tabla1[[#This Row],[REQUISICIONES ABRIL 2021]]+Tabla1[[#This Row],[ENTRADAS ABRIL 2021]]</f>
        <v>8</v>
      </c>
      <c r="X421" s="63">
        <f>+Tabla1[[#This Row],[STOCK ABRIL 2021]]-Tabla1[[#This Row],[REQUISICIONES MAYO 2021]]+Tabla1[[#This Row],[ENTRADAS MAYO 2021]]</f>
        <v>8</v>
      </c>
      <c r="Y421" s="63">
        <f>+Tabla1[[#This Row],[STOCK MAYO 2021]]-Tabla1[[#This Row],[REQUISICIONES JUNIO 2021]]+Tabla1[[#This Row],[ENTRADAS JUNIO 2021]]</f>
        <v>8</v>
      </c>
      <c r="Z421" s="30" t="s">
        <v>105</v>
      </c>
      <c r="AA421" s="34">
        <v>0</v>
      </c>
      <c r="AB421" s="35">
        <f t="shared" si="13"/>
        <v>0</v>
      </c>
      <c r="AC421" s="93">
        <f>Tabla1[[#This Row],[STOCK JUNIO ]]*Tabla1[[#This Row],[COSTO UNITARIO SIN ITBIS]]</f>
        <v>0</v>
      </c>
    </row>
    <row r="422" spans="1:29" s="8" customFormat="1" x14ac:dyDescent="0.25">
      <c r="A422" s="261">
        <v>62</v>
      </c>
      <c r="B422" s="31">
        <v>44110</v>
      </c>
      <c r="C422" s="28" t="s">
        <v>11</v>
      </c>
      <c r="D422" s="31">
        <v>44110</v>
      </c>
      <c r="E422" s="137"/>
      <c r="F422" s="28"/>
      <c r="G422" s="32" t="s">
        <v>791</v>
      </c>
      <c r="H422" s="63">
        <v>92</v>
      </c>
      <c r="I422" s="63"/>
      <c r="J422" s="63">
        <f>+'INVENTARIO ABRIL-JUNIO 2021'!$H422-'INVENTARIO ABRIL-JUNIO 2021'!$I422</f>
        <v>92</v>
      </c>
      <c r="K422" s="63"/>
      <c r="L422" s="63"/>
      <c r="M422" s="63"/>
      <c r="N422" s="63"/>
      <c r="O422" s="125"/>
      <c r="P422" s="63">
        <v>4</v>
      </c>
      <c r="Q422" s="63">
        <f>1+1</f>
        <v>2</v>
      </c>
      <c r="R422" s="63">
        <f>1+1+2+2+10+1</f>
        <v>17</v>
      </c>
      <c r="S422" s="63">
        <f>1+7+2+3+1+4</f>
        <v>18</v>
      </c>
      <c r="T422" s="63">
        <f>4+5+1+2+3+5</f>
        <v>20</v>
      </c>
      <c r="U422" s="63">
        <f>+Tabla1[[#This Row],[STOCK    FISICO ENERO 2021]]-Tabla1[[#This Row],[REQUISICIONES FEBRERO 2021]]</f>
        <v>88</v>
      </c>
      <c r="V422" s="63">
        <f>+Tabla1[[#This Row],[STOCK  FEBRERO 2021]]-Tabla1[[#This Row],[REQUISICIONES MARZO 2021]]+Tabla1[[#This Row],[ENTRADAS MARZO 2021]]</f>
        <v>86</v>
      </c>
      <c r="W422" s="63">
        <f>+Tabla1[[#This Row],[STOCK MARZO 2021]]-Tabla1[[#This Row],[REQUISICIONES ABRIL 2021]]+Tabla1[[#This Row],[ENTRADAS ABRIL 2021]]</f>
        <v>69</v>
      </c>
      <c r="X422" s="63">
        <f>+Tabla1[[#This Row],[STOCK ABRIL 2021]]-Tabla1[[#This Row],[REQUISICIONES MAYO 2021]]+Tabla1[[#This Row],[ENTRADAS MAYO 2021]]</f>
        <v>51</v>
      </c>
      <c r="Y422" s="63">
        <f>+Tabla1[[#This Row],[STOCK MAYO 2021]]-Tabla1[[#This Row],[REQUISICIONES JUNIO 2021]]+Tabla1[[#This Row],[ENTRADAS JUNIO 2021]]</f>
        <v>31</v>
      </c>
      <c r="Z422" s="30" t="s">
        <v>105</v>
      </c>
      <c r="AA422" s="34">
        <v>1761.4</v>
      </c>
      <c r="AB422" s="35">
        <f t="shared" si="13"/>
        <v>2078.4520000000002</v>
      </c>
      <c r="AC422" s="93">
        <f>Tabla1[[#This Row],[STOCK JUNIO ]]*Tabla1[[#This Row],[COSTO UNITARIO SIN ITBIS]]</f>
        <v>54603.4</v>
      </c>
    </row>
    <row r="423" spans="1:29" s="8" customFormat="1" x14ac:dyDescent="0.25">
      <c r="A423" s="261">
        <v>63</v>
      </c>
      <c r="B423" s="31">
        <v>44110</v>
      </c>
      <c r="C423" s="28" t="s">
        <v>11</v>
      </c>
      <c r="D423" s="117">
        <v>44110</v>
      </c>
      <c r="E423" s="138"/>
      <c r="F423" s="28"/>
      <c r="G423" s="32" t="s">
        <v>792</v>
      </c>
      <c r="H423" s="120"/>
      <c r="I423" s="120"/>
      <c r="J423" s="120">
        <f>+'INVENTARIO ABRIL-JUNIO 2021'!$H423-'INVENTARIO ABRIL-JUNIO 2021'!$I423+18</f>
        <v>18</v>
      </c>
      <c r="K423" s="120"/>
      <c r="L423" s="120"/>
      <c r="M423" s="120"/>
      <c r="N423" s="120"/>
      <c r="O423" s="121"/>
      <c r="P423" s="120"/>
      <c r="Q423" s="120"/>
      <c r="R423" s="120"/>
      <c r="S423" s="120"/>
      <c r="T423" s="120"/>
      <c r="U423" s="121">
        <f>+Tabla1[[#This Row],[STOCK    FISICO ENERO 2021]]-Tabla1[[#This Row],[REQUISICIONES FEBRERO 2021]]</f>
        <v>18</v>
      </c>
      <c r="V423" s="121">
        <f>+Tabla1[[#This Row],[STOCK  FEBRERO 2021]]-Tabla1[[#This Row],[REQUISICIONES MARZO 2021]]+Tabla1[[#This Row],[ENTRADAS MARZO 2021]]</f>
        <v>18</v>
      </c>
      <c r="W423" s="125">
        <f>+Tabla1[[#This Row],[STOCK MARZO 2021]]-Tabla1[[#This Row],[REQUISICIONES ABRIL 2021]]+Tabla1[[#This Row],[ENTRADAS ABRIL 2021]]</f>
        <v>18</v>
      </c>
      <c r="X423" s="125">
        <f>+Tabla1[[#This Row],[STOCK ABRIL 2021]]-Tabla1[[#This Row],[REQUISICIONES MAYO 2021]]+Tabla1[[#This Row],[ENTRADAS MAYO 2021]]</f>
        <v>18</v>
      </c>
      <c r="Y423" s="125">
        <f>+Tabla1[[#This Row],[STOCK MAYO 2021]]-Tabla1[[#This Row],[REQUISICIONES JUNIO 2021]]+Tabla1[[#This Row],[ENTRADAS JUNIO 2021]]</f>
        <v>18</v>
      </c>
      <c r="Z423" s="30" t="s">
        <v>105</v>
      </c>
      <c r="AA423" s="34">
        <v>1761.4</v>
      </c>
      <c r="AB423" s="35">
        <f t="shared" si="13"/>
        <v>2078.4520000000002</v>
      </c>
      <c r="AC423" s="93">
        <f>Tabla1[[#This Row],[STOCK JUNIO ]]*Tabla1[[#This Row],[COSTO UNITARIO SIN ITBIS]]</f>
        <v>31705.200000000001</v>
      </c>
    </row>
    <row r="424" spans="1:29" s="8" customFormat="1" x14ac:dyDescent="0.25">
      <c r="A424" s="261">
        <v>64</v>
      </c>
      <c r="B424" s="31">
        <v>44110</v>
      </c>
      <c r="C424" s="28" t="s">
        <v>11</v>
      </c>
      <c r="D424" s="31">
        <v>44110</v>
      </c>
      <c r="E424" s="138"/>
      <c r="F424" s="166"/>
      <c r="G424" s="32" t="s">
        <v>798</v>
      </c>
      <c r="H424" s="120"/>
      <c r="I424" s="120"/>
      <c r="J424" s="120">
        <f>+'INVENTARIO ABRIL-JUNIO 2021'!$H424-'INVENTARIO ABRIL-JUNIO 2021'!$I424+15</f>
        <v>15</v>
      </c>
      <c r="K424" s="120"/>
      <c r="L424" s="120"/>
      <c r="M424" s="120"/>
      <c r="N424" s="120"/>
      <c r="O424" s="121"/>
      <c r="P424" s="120"/>
      <c r="Q424" s="120"/>
      <c r="R424" s="120"/>
      <c r="S424" s="120"/>
      <c r="T424" s="120"/>
      <c r="U424" s="121">
        <f>+Tabla1[[#This Row],[STOCK    FISICO ENERO 2021]]-Tabla1[[#This Row],[REQUISICIONES FEBRERO 2021]]</f>
        <v>15</v>
      </c>
      <c r="V424" s="121">
        <f>+Tabla1[[#This Row],[STOCK  FEBRERO 2021]]-Tabla1[[#This Row],[REQUISICIONES MARZO 2021]]+Tabla1[[#This Row],[ENTRADAS MARZO 2021]]</f>
        <v>15</v>
      </c>
      <c r="W424" s="125">
        <f>+Tabla1[[#This Row],[STOCK MARZO 2021]]-Tabla1[[#This Row],[REQUISICIONES ABRIL 2021]]+Tabla1[[#This Row],[ENTRADAS ABRIL 2021]]</f>
        <v>15</v>
      </c>
      <c r="X424" s="125">
        <f>+Tabla1[[#This Row],[STOCK ABRIL 2021]]-Tabla1[[#This Row],[REQUISICIONES MAYO 2021]]+Tabla1[[#This Row],[ENTRADAS MAYO 2021]]</f>
        <v>15</v>
      </c>
      <c r="Y424" s="125">
        <f>+Tabla1[[#This Row],[STOCK MAYO 2021]]-Tabla1[[#This Row],[REQUISICIONES JUNIO 2021]]+Tabla1[[#This Row],[ENTRADAS JUNIO 2021]]</f>
        <v>15</v>
      </c>
      <c r="Z424" s="30" t="s">
        <v>105</v>
      </c>
      <c r="AA424" s="122">
        <v>0</v>
      </c>
      <c r="AB424" s="35">
        <f t="shared" si="13"/>
        <v>0</v>
      </c>
      <c r="AC424" s="93">
        <f>Tabla1[[#This Row],[STOCK JUNIO ]]*Tabla1[[#This Row],[COSTO UNITARIO SIN ITBIS]]</f>
        <v>0</v>
      </c>
    </row>
    <row r="425" spans="1:29" s="8" customFormat="1" x14ac:dyDescent="0.25">
      <c r="A425" s="261">
        <v>65</v>
      </c>
      <c r="B425" s="31">
        <v>44026</v>
      </c>
      <c r="C425" s="28" t="s">
        <v>11</v>
      </c>
      <c r="D425" s="31">
        <v>44026</v>
      </c>
      <c r="E425" s="137"/>
      <c r="F425" s="28">
        <v>1603</v>
      </c>
      <c r="G425" s="32" t="s">
        <v>793</v>
      </c>
      <c r="H425" s="63">
        <v>20</v>
      </c>
      <c r="I425" s="63"/>
      <c r="J425" s="63">
        <f>+'INVENTARIO ABRIL-JUNIO 2021'!$H425-'INVENTARIO ABRIL-JUNIO 2021'!$I425</f>
        <v>20</v>
      </c>
      <c r="K425" s="63"/>
      <c r="L425" s="63"/>
      <c r="M425" s="63"/>
      <c r="N425" s="63"/>
      <c r="O425" s="125"/>
      <c r="P425" s="63"/>
      <c r="Q425" s="63"/>
      <c r="R425" s="63"/>
      <c r="S425" s="63"/>
      <c r="T425" s="63"/>
      <c r="U425" s="63">
        <f>+Tabla1[[#This Row],[STOCK    FISICO ENERO 2021]]-Tabla1[[#This Row],[REQUISICIONES FEBRERO 2021]]</f>
        <v>20</v>
      </c>
      <c r="V425" s="63">
        <f>+Tabla1[[#This Row],[STOCK  FEBRERO 2021]]-Tabla1[[#This Row],[REQUISICIONES MARZO 2021]]+Tabla1[[#This Row],[ENTRADAS MARZO 2021]]</f>
        <v>20</v>
      </c>
      <c r="W425" s="63">
        <f>+Tabla1[[#This Row],[STOCK MARZO 2021]]-Tabla1[[#This Row],[REQUISICIONES ABRIL 2021]]+Tabla1[[#This Row],[ENTRADAS ABRIL 2021]]</f>
        <v>20</v>
      </c>
      <c r="X425" s="63">
        <f>+Tabla1[[#This Row],[STOCK ABRIL 2021]]-Tabla1[[#This Row],[REQUISICIONES MAYO 2021]]+Tabla1[[#This Row],[ENTRADAS MAYO 2021]]</f>
        <v>20</v>
      </c>
      <c r="Y425" s="63">
        <f>+Tabla1[[#This Row],[STOCK MAYO 2021]]-Tabla1[[#This Row],[REQUISICIONES JUNIO 2021]]+Tabla1[[#This Row],[ENTRADAS JUNIO 2021]]</f>
        <v>20</v>
      </c>
      <c r="Z425" s="30" t="s">
        <v>12</v>
      </c>
      <c r="AA425" s="34">
        <v>115.93</v>
      </c>
      <c r="AB425" s="35">
        <f t="shared" si="13"/>
        <v>136.79740000000001</v>
      </c>
      <c r="AC425" s="93">
        <f>Tabla1[[#This Row],[STOCK JUNIO ]]*Tabla1[[#This Row],[COSTO UNITARIO SIN ITBIS]]</f>
        <v>2318.6000000000004</v>
      </c>
    </row>
    <row r="426" spans="1:29" s="8" customFormat="1" x14ac:dyDescent="0.25">
      <c r="A426" s="261">
        <v>66</v>
      </c>
      <c r="B426" s="31">
        <v>44026</v>
      </c>
      <c r="C426" s="28" t="s">
        <v>11</v>
      </c>
      <c r="D426" s="31">
        <v>44026</v>
      </c>
      <c r="E426" s="137"/>
      <c r="F426" s="28">
        <v>1602</v>
      </c>
      <c r="G426" s="32" t="s">
        <v>794</v>
      </c>
      <c r="H426" s="63">
        <v>20</v>
      </c>
      <c r="I426" s="63"/>
      <c r="J426" s="63">
        <f>+'INVENTARIO ABRIL-JUNIO 2021'!$H426-'INVENTARIO ABRIL-JUNIO 2021'!$I426</f>
        <v>20</v>
      </c>
      <c r="K426" s="63"/>
      <c r="L426" s="63"/>
      <c r="M426" s="63"/>
      <c r="N426" s="63"/>
      <c r="O426" s="125"/>
      <c r="P426" s="63"/>
      <c r="Q426" s="63"/>
      <c r="R426" s="63"/>
      <c r="S426" s="63"/>
      <c r="T426" s="63"/>
      <c r="U426" s="63">
        <f>+Tabla1[[#This Row],[STOCK    FISICO ENERO 2021]]-Tabla1[[#This Row],[REQUISICIONES FEBRERO 2021]]</f>
        <v>20</v>
      </c>
      <c r="V426" s="63">
        <f>+Tabla1[[#This Row],[STOCK  FEBRERO 2021]]-Tabla1[[#This Row],[REQUISICIONES MARZO 2021]]+Tabla1[[#This Row],[ENTRADAS MARZO 2021]]</f>
        <v>20</v>
      </c>
      <c r="W426" s="63">
        <f>+Tabla1[[#This Row],[STOCK MARZO 2021]]-Tabla1[[#This Row],[REQUISICIONES ABRIL 2021]]+Tabla1[[#This Row],[ENTRADAS ABRIL 2021]]</f>
        <v>20</v>
      </c>
      <c r="X426" s="63">
        <f>+Tabla1[[#This Row],[STOCK ABRIL 2021]]-Tabla1[[#This Row],[REQUISICIONES MAYO 2021]]+Tabla1[[#This Row],[ENTRADAS MAYO 2021]]</f>
        <v>20</v>
      </c>
      <c r="Y426" s="63">
        <f>+Tabla1[[#This Row],[STOCK MAYO 2021]]-Tabla1[[#This Row],[REQUISICIONES JUNIO 2021]]+Tabla1[[#This Row],[ENTRADAS JUNIO 2021]]</f>
        <v>20</v>
      </c>
      <c r="Z426" s="30" t="s">
        <v>105</v>
      </c>
      <c r="AA426" s="34">
        <v>193.22</v>
      </c>
      <c r="AB426" s="35">
        <f t="shared" si="13"/>
        <v>227.99959999999999</v>
      </c>
      <c r="AC426" s="93">
        <f>Tabla1[[#This Row],[STOCK JUNIO ]]*Tabla1[[#This Row],[COSTO UNITARIO SIN ITBIS]]</f>
        <v>3864.4</v>
      </c>
    </row>
    <row r="427" spans="1:29" s="8" customFormat="1" x14ac:dyDescent="0.25">
      <c r="A427" s="261">
        <v>67</v>
      </c>
      <c r="B427" s="31">
        <v>44026</v>
      </c>
      <c r="C427" s="28" t="s">
        <v>11</v>
      </c>
      <c r="D427" s="31">
        <v>44026</v>
      </c>
      <c r="E427" s="137"/>
      <c r="F427" s="28" t="s">
        <v>20</v>
      </c>
      <c r="G427" s="32" t="s">
        <v>795</v>
      </c>
      <c r="H427" s="63">
        <v>10</v>
      </c>
      <c r="I427" s="63"/>
      <c r="J427" s="63">
        <f>+'INVENTARIO ABRIL-JUNIO 2021'!$H427-'INVENTARIO ABRIL-JUNIO 2021'!$I427</f>
        <v>10</v>
      </c>
      <c r="K427" s="63"/>
      <c r="L427" s="63"/>
      <c r="M427" s="63"/>
      <c r="N427" s="63"/>
      <c r="O427" s="125"/>
      <c r="P427" s="63"/>
      <c r="Q427" s="63"/>
      <c r="R427" s="63"/>
      <c r="S427" s="63"/>
      <c r="T427" s="63"/>
      <c r="U427" s="63">
        <f>+Tabla1[[#This Row],[STOCK    FISICO ENERO 2021]]-Tabla1[[#This Row],[REQUISICIONES FEBRERO 2021]]</f>
        <v>10</v>
      </c>
      <c r="V427" s="63">
        <f>+Tabla1[[#This Row],[STOCK  FEBRERO 2021]]-Tabla1[[#This Row],[REQUISICIONES MARZO 2021]]+Tabla1[[#This Row],[ENTRADAS MARZO 2021]]</f>
        <v>10</v>
      </c>
      <c r="W427" s="63">
        <f>+Tabla1[[#This Row],[STOCK MARZO 2021]]-Tabla1[[#This Row],[REQUISICIONES ABRIL 2021]]+Tabla1[[#This Row],[ENTRADAS ABRIL 2021]]</f>
        <v>10</v>
      </c>
      <c r="X427" s="63">
        <f>+Tabla1[[#This Row],[STOCK ABRIL 2021]]-Tabla1[[#This Row],[REQUISICIONES MAYO 2021]]+Tabla1[[#This Row],[ENTRADAS MAYO 2021]]</f>
        <v>10</v>
      </c>
      <c r="Y427" s="63">
        <f>+Tabla1[[#This Row],[STOCK MAYO 2021]]-Tabla1[[#This Row],[REQUISICIONES JUNIO 2021]]+Tabla1[[#This Row],[ENTRADAS JUNIO 2021]]</f>
        <v>10</v>
      </c>
      <c r="Z427" s="30" t="s">
        <v>105</v>
      </c>
      <c r="AA427" s="34">
        <v>0</v>
      </c>
      <c r="AB427" s="35">
        <f t="shared" si="13"/>
        <v>0</v>
      </c>
      <c r="AC427" s="93">
        <f>Tabla1[[#This Row],[STOCK JUNIO ]]*Tabla1[[#This Row],[COSTO UNITARIO SIN ITBIS]]</f>
        <v>0</v>
      </c>
    </row>
    <row r="428" spans="1:29" s="8" customFormat="1" x14ac:dyDescent="0.25">
      <c r="A428" s="261">
        <v>68</v>
      </c>
      <c r="B428" s="31">
        <v>44110</v>
      </c>
      <c r="C428" s="28" t="s">
        <v>11</v>
      </c>
      <c r="D428" s="117">
        <v>44110</v>
      </c>
      <c r="E428" s="138"/>
      <c r="F428" s="28"/>
      <c r="G428" s="119" t="s">
        <v>789</v>
      </c>
      <c r="H428" s="120"/>
      <c r="I428" s="120"/>
      <c r="J428" s="120">
        <f>+'INVENTARIO ABRIL-JUNIO 2021'!$H428-'INVENTARIO ABRIL-JUNIO 2021'!$I428+13</f>
        <v>13</v>
      </c>
      <c r="K428" s="120"/>
      <c r="L428" s="120"/>
      <c r="M428" s="120"/>
      <c r="N428" s="120"/>
      <c r="O428" s="121"/>
      <c r="P428" s="120"/>
      <c r="Q428" s="120"/>
      <c r="R428" s="120">
        <v>2</v>
      </c>
      <c r="S428" s="120"/>
      <c r="T428" s="120"/>
      <c r="U428" s="121">
        <f>+Tabla1[[#This Row],[STOCK    FISICO ENERO 2021]]-Tabla1[[#This Row],[REQUISICIONES FEBRERO 2021]]</f>
        <v>13</v>
      </c>
      <c r="V428" s="121">
        <f>+Tabla1[[#This Row],[STOCK  FEBRERO 2021]]-Tabla1[[#This Row],[REQUISICIONES MARZO 2021]]+Tabla1[[#This Row],[ENTRADAS MARZO 2021]]</f>
        <v>13</v>
      </c>
      <c r="W428" s="125">
        <f>+Tabla1[[#This Row],[STOCK MARZO 2021]]-Tabla1[[#This Row],[REQUISICIONES ABRIL 2021]]+Tabla1[[#This Row],[ENTRADAS ABRIL 2021]]</f>
        <v>11</v>
      </c>
      <c r="X428" s="125">
        <f>+Tabla1[[#This Row],[STOCK ABRIL 2021]]-Tabla1[[#This Row],[REQUISICIONES MAYO 2021]]+Tabla1[[#This Row],[ENTRADAS MAYO 2021]]</f>
        <v>11</v>
      </c>
      <c r="Y428" s="125">
        <f>+Tabla1[[#This Row],[STOCK MAYO 2021]]-Tabla1[[#This Row],[REQUISICIONES JUNIO 2021]]+Tabla1[[#This Row],[ENTRADAS JUNIO 2021]]</f>
        <v>11</v>
      </c>
      <c r="Z428" s="30" t="s">
        <v>105</v>
      </c>
      <c r="AA428" s="122">
        <v>0</v>
      </c>
      <c r="AB428" s="35">
        <f t="shared" si="13"/>
        <v>0</v>
      </c>
      <c r="AC428" s="93">
        <f>Tabla1[[#This Row],[STOCK JUNIO ]]*Tabla1[[#This Row],[COSTO UNITARIO SIN ITBIS]]</f>
        <v>0</v>
      </c>
    </row>
    <row r="429" spans="1:29" s="8" customFormat="1" x14ac:dyDescent="0.25">
      <c r="A429" s="261">
        <v>69</v>
      </c>
      <c r="B429" s="31">
        <v>44110</v>
      </c>
      <c r="C429" s="28" t="s">
        <v>11</v>
      </c>
      <c r="D429" s="31">
        <v>44110</v>
      </c>
      <c r="E429" s="138"/>
      <c r="F429" s="28"/>
      <c r="G429" s="119" t="s">
        <v>790</v>
      </c>
      <c r="H429" s="120"/>
      <c r="I429" s="120"/>
      <c r="J429" s="120">
        <f>+'INVENTARIO ABRIL-JUNIO 2021'!$H429-'INVENTARIO ABRIL-JUNIO 2021'!$I429+15</f>
        <v>15</v>
      </c>
      <c r="K429" s="120"/>
      <c r="L429" s="120"/>
      <c r="M429" s="120"/>
      <c r="N429" s="120"/>
      <c r="O429" s="121"/>
      <c r="P429" s="120"/>
      <c r="Q429" s="120"/>
      <c r="R429" s="120"/>
      <c r="S429" s="120">
        <v>1</v>
      </c>
      <c r="T429" s="120">
        <f>1+1</f>
        <v>2</v>
      </c>
      <c r="U429" s="121">
        <f>+Tabla1[[#This Row],[STOCK    FISICO ENERO 2021]]-Tabla1[[#This Row],[REQUISICIONES FEBRERO 2021]]</f>
        <v>15</v>
      </c>
      <c r="V429" s="121">
        <f>+Tabla1[[#This Row],[STOCK  FEBRERO 2021]]-Tabla1[[#This Row],[REQUISICIONES MARZO 2021]]+Tabla1[[#This Row],[ENTRADAS MARZO 2021]]</f>
        <v>15</v>
      </c>
      <c r="W429" s="125">
        <f>+Tabla1[[#This Row],[STOCK MARZO 2021]]-Tabla1[[#This Row],[REQUISICIONES ABRIL 2021]]+Tabla1[[#This Row],[ENTRADAS ABRIL 2021]]</f>
        <v>15</v>
      </c>
      <c r="X429" s="125">
        <f>+Tabla1[[#This Row],[STOCK ABRIL 2021]]-Tabla1[[#This Row],[REQUISICIONES MAYO 2021]]+Tabla1[[#This Row],[ENTRADAS MAYO 2021]]</f>
        <v>14</v>
      </c>
      <c r="Y429" s="125">
        <f>+Tabla1[[#This Row],[STOCK MAYO 2021]]-Tabla1[[#This Row],[REQUISICIONES JUNIO 2021]]+Tabla1[[#This Row],[ENTRADAS JUNIO 2021]]</f>
        <v>12</v>
      </c>
      <c r="Z429" s="30" t="s">
        <v>105</v>
      </c>
      <c r="AA429" s="122">
        <v>0</v>
      </c>
      <c r="AB429" s="35">
        <f t="shared" si="13"/>
        <v>0</v>
      </c>
      <c r="AC429" s="93">
        <f>Tabla1[[#This Row],[STOCK JUNIO ]]*Tabla1[[#This Row],[COSTO UNITARIO SIN ITBIS]]</f>
        <v>0</v>
      </c>
    </row>
    <row r="430" spans="1:29" s="8" customFormat="1" x14ac:dyDescent="0.25">
      <c r="A430" s="261">
        <v>70</v>
      </c>
      <c r="B430" s="31">
        <v>44110</v>
      </c>
      <c r="C430" s="28" t="s">
        <v>11</v>
      </c>
      <c r="D430" s="31">
        <v>44110</v>
      </c>
      <c r="E430" s="137"/>
      <c r="F430" s="28"/>
      <c r="G430" s="32" t="s">
        <v>797</v>
      </c>
      <c r="H430" s="63">
        <v>25</v>
      </c>
      <c r="I430" s="63"/>
      <c r="J430" s="63">
        <f>+'INVENTARIO ABRIL-JUNIO 2021'!$H430-'INVENTARIO ABRIL-JUNIO 2021'!$I430</f>
        <v>25</v>
      </c>
      <c r="K430" s="63"/>
      <c r="L430" s="63"/>
      <c r="M430" s="63"/>
      <c r="N430" s="63"/>
      <c r="O430" s="125"/>
      <c r="P430" s="63">
        <v>1</v>
      </c>
      <c r="Q430" s="63"/>
      <c r="R430" s="63"/>
      <c r="S430" s="63"/>
      <c r="T430" s="63"/>
      <c r="U430" s="63">
        <f>+Tabla1[[#This Row],[STOCK    FISICO ENERO 2021]]-Tabla1[[#This Row],[REQUISICIONES FEBRERO 2021]]</f>
        <v>24</v>
      </c>
      <c r="V430" s="63">
        <f>+Tabla1[[#This Row],[STOCK  FEBRERO 2021]]-Tabla1[[#This Row],[REQUISICIONES MARZO 2021]]+Tabla1[[#This Row],[ENTRADAS MARZO 2021]]</f>
        <v>24</v>
      </c>
      <c r="W430" s="63">
        <f>+Tabla1[[#This Row],[STOCK MARZO 2021]]-Tabla1[[#This Row],[REQUISICIONES ABRIL 2021]]+Tabla1[[#This Row],[ENTRADAS ABRIL 2021]]</f>
        <v>24</v>
      </c>
      <c r="X430" s="63">
        <f>+Tabla1[[#This Row],[STOCK ABRIL 2021]]-Tabla1[[#This Row],[REQUISICIONES MAYO 2021]]+Tabla1[[#This Row],[ENTRADAS MAYO 2021]]</f>
        <v>24</v>
      </c>
      <c r="Y430" s="63">
        <f>+Tabla1[[#This Row],[STOCK MAYO 2021]]-Tabla1[[#This Row],[REQUISICIONES JUNIO 2021]]+Tabla1[[#This Row],[ENTRADAS JUNIO 2021]]</f>
        <v>24</v>
      </c>
      <c r="Z430" s="30" t="s">
        <v>105</v>
      </c>
      <c r="AA430" s="34">
        <v>3378.34</v>
      </c>
      <c r="AB430" s="35">
        <f t="shared" ref="AB430:AB454" si="15">AA430*0.18+AA430</f>
        <v>3986.4412000000002</v>
      </c>
      <c r="AC430" s="93">
        <f>Tabla1[[#This Row],[STOCK JUNIO ]]*Tabla1[[#This Row],[COSTO UNITARIO SIN ITBIS]]</f>
        <v>81080.160000000003</v>
      </c>
    </row>
    <row r="431" spans="1:29" s="8" customFormat="1" x14ac:dyDescent="0.25">
      <c r="A431" s="261">
        <v>71</v>
      </c>
      <c r="B431" s="31">
        <v>44110</v>
      </c>
      <c r="C431" s="28" t="s">
        <v>11</v>
      </c>
      <c r="D431" s="31">
        <v>44110</v>
      </c>
      <c r="E431" s="137"/>
      <c r="F431" s="28">
        <v>1107</v>
      </c>
      <c r="G431" s="32" t="s">
        <v>283</v>
      </c>
      <c r="H431" s="63">
        <v>6</v>
      </c>
      <c r="I431" s="63"/>
      <c r="J431" s="63">
        <f>+'INVENTARIO ABRIL-JUNIO 2021'!$H431-'INVENTARIO ABRIL-JUNIO 2021'!$I431</f>
        <v>6</v>
      </c>
      <c r="K431" s="63"/>
      <c r="L431" s="63"/>
      <c r="M431" s="63"/>
      <c r="N431" s="63"/>
      <c r="O431" s="125"/>
      <c r="P431" s="63">
        <v>1</v>
      </c>
      <c r="Q431" s="63"/>
      <c r="R431" s="63"/>
      <c r="S431" s="63"/>
      <c r="T431" s="63"/>
      <c r="U431" s="63">
        <f>+Tabla1[[#This Row],[STOCK    FISICO ENERO 2021]]-Tabla1[[#This Row],[REQUISICIONES FEBRERO 2021]]</f>
        <v>5</v>
      </c>
      <c r="V431" s="63">
        <f>+Tabla1[[#This Row],[STOCK  FEBRERO 2021]]-Tabla1[[#This Row],[REQUISICIONES MARZO 2021]]+Tabla1[[#This Row],[ENTRADAS MARZO 2021]]</f>
        <v>5</v>
      </c>
      <c r="W431" s="63">
        <f>+Tabla1[[#This Row],[STOCK MARZO 2021]]-Tabla1[[#This Row],[REQUISICIONES ABRIL 2021]]+Tabla1[[#This Row],[ENTRADAS ABRIL 2021]]</f>
        <v>5</v>
      </c>
      <c r="X431" s="63">
        <f>+Tabla1[[#This Row],[STOCK ABRIL 2021]]-Tabla1[[#This Row],[REQUISICIONES MAYO 2021]]+Tabla1[[#This Row],[ENTRADAS MAYO 2021]]</f>
        <v>5</v>
      </c>
      <c r="Y431" s="63">
        <f>+Tabla1[[#This Row],[STOCK MAYO 2021]]-Tabla1[[#This Row],[REQUISICIONES JUNIO 2021]]+Tabla1[[#This Row],[ENTRADAS JUNIO 2021]]</f>
        <v>5</v>
      </c>
      <c r="Z431" s="30" t="s">
        <v>105</v>
      </c>
      <c r="AA431" s="34">
        <v>0</v>
      </c>
      <c r="AB431" s="35">
        <f t="shared" si="15"/>
        <v>0</v>
      </c>
      <c r="AC431" s="93">
        <f>Tabla1[[#This Row],[STOCK JUNIO ]]*Tabla1[[#This Row],[COSTO UNITARIO SIN ITBIS]]</f>
        <v>0</v>
      </c>
    </row>
    <row r="432" spans="1:29" s="8" customFormat="1" x14ac:dyDescent="0.25">
      <c r="A432" s="261">
        <v>72</v>
      </c>
      <c r="B432" s="31">
        <v>44110</v>
      </c>
      <c r="C432" s="28" t="s">
        <v>11</v>
      </c>
      <c r="D432" s="31">
        <v>44110</v>
      </c>
      <c r="E432" s="137"/>
      <c r="F432" s="28">
        <v>1645</v>
      </c>
      <c r="G432" s="32" t="s">
        <v>284</v>
      </c>
      <c r="H432" s="63"/>
      <c r="I432" s="63"/>
      <c r="J432" s="63">
        <f>+'INVENTARIO ABRIL-JUNIO 2021'!$H432-'INVENTARIO ABRIL-JUNIO 2021'!$I432</f>
        <v>0</v>
      </c>
      <c r="K432" s="63"/>
      <c r="L432" s="63"/>
      <c r="M432" s="63"/>
      <c r="N432" s="63"/>
      <c r="O432" s="125"/>
      <c r="P432" s="63"/>
      <c r="Q432" s="63"/>
      <c r="R432" s="63"/>
      <c r="S432" s="63"/>
      <c r="T432" s="63"/>
      <c r="U432" s="63">
        <f>+Tabla1[[#This Row],[STOCK    FISICO ENERO 2021]]-Tabla1[[#This Row],[REQUISICIONES FEBRERO 2021]]</f>
        <v>0</v>
      </c>
      <c r="V432" s="63">
        <f>+Tabla1[[#This Row],[STOCK  FEBRERO 2021]]-Tabla1[[#This Row],[REQUISICIONES MARZO 2021]]+Tabla1[[#This Row],[ENTRADAS MARZO 2021]]</f>
        <v>0</v>
      </c>
      <c r="W432" s="63">
        <f>+Tabla1[[#This Row],[STOCK MARZO 2021]]-Tabla1[[#This Row],[REQUISICIONES ABRIL 2021]]+Tabla1[[#This Row],[ENTRADAS ABRIL 2021]]</f>
        <v>0</v>
      </c>
      <c r="X432" s="63">
        <f>+Tabla1[[#This Row],[STOCK ABRIL 2021]]-Tabla1[[#This Row],[REQUISICIONES MAYO 2021]]+Tabla1[[#This Row],[ENTRADAS MAYO 2021]]</f>
        <v>0</v>
      </c>
      <c r="Y432" s="63">
        <f>+Tabla1[[#This Row],[STOCK MAYO 2021]]-Tabla1[[#This Row],[REQUISICIONES JUNIO 2021]]+Tabla1[[#This Row],[ENTRADAS JUNIO 2021]]</f>
        <v>0</v>
      </c>
      <c r="Z432" s="30" t="s">
        <v>105</v>
      </c>
      <c r="AA432" s="34">
        <v>2745.76</v>
      </c>
      <c r="AB432" s="35">
        <f t="shared" si="15"/>
        <v>3239.9968000000003</v>
      </c>
      <c r="AC432" s="93">
        <f>Tabla1[[#This Row],[STOCK JUNIO ]]*Tabla1[[#This Row],[COSTO UNITARIO SIN ITBIS]]</f>
        <v>0</v>
      </c>
    </row>
    <row r="433" spans="1:29" s="8" customFormat="1" x14ac:dyDescent="0.25">
      <c r="A433" s="261">
        <v>73</v>
      </c>
      <c r="B433" s="31">
        <v>44026</v>
      </c>
      <c r="C433" s="28" t="s">
        <v>11</v>
      </c>
      <c r="D433" s="31">
        <v>44026</v>
      </c>
      <c r="E433" s="137"/>
      <c r="F433" s="28">
        <v>1751</v>
      </c>
      <c r="G433" s="32" t="s">
        <v>285</v>
      </c>
      <c r="H433" s="63">
        <v>1</v>
      </c>
      <c r="I433" s="63"/>
      <c r="J433" s="63">
        <f>+'INVENTARIO ABRIL-JUNIO 2021'!$H433-'INVENTARIO ABRIL-JUNIO 2021'!$I433</f>
        <v>1</v>
      </c>
      <c r="K433" s="63"/>
      <c r="L433" s="63"/>
      <c r="M433" s="63"/>
      <c r="N433" s="63"/>
      <c r="O433" s="125"/>
      <c r="P433" s="63"/>
      <c r="Q433" s="63"/>
      <c r="R433" s="63"/>
      <c r="S433" s="63">
        <v>1</v>
      </c>
      <c r="T433" s="63"/>
      <c r="U433" s="63">
        <f>+Tabla1[[#This Row],[STOCK    FISICO ENERO 2021]]-Tabla1[[#This Row],[REQUISICIONES FEBRERO 2021]]</f>
        <v>1</v>
      </c>
      <c r="V433" s="63">
        <f>+Tabla1[[#This Row],[STOCK  FEBRERO 2021]]-Tabla1[[#This Row],[REQUISICIONES MARZO 2021]]+Tabla1[[#This Row],[ENTRADAS MARZO 2021]]</f>
        <v>1</v>
      </c>
      <c r="W433" s="63">
        <f>+Tabla1[[#This Row],[STOCK MARZO 2021]]-Tabla1[[#This Row],[REQUISICIONES ABRIL 2021]]+Tabla1[[#This Row],[ENTRADAS ABRIL 2021]]</f>
        <v>1</v>
      </c>
      <c r="X433" s="63">
        <f>+Tabla1[[#This Row],[STOCK ABRIL 2021]]-Tabla1[[#This Row],[REQUISICIONES MAYO 2021]]+Tabla1[[#This Row],[ENTRADAS MAYO 2021]]</f>
        <v>0</v>
      </c>
      <c r="Y433" s="63">
        <f>+Tabla1[[#This Row],[STOCK MAYO 2021]]-Tabla1[[#This Row],[REQUISICIONES JUNIO 2021]]+Tabla1[[#This Row],[ENTRADAS JUNIO 2021]]</f>
        <v>0</v>
      </c>
      <c r="Z433" s="30" t="s">
        <v>12</v>
      </c>
      <c r="AA433" s="34">
        <v>142.68</v>
      </c>
      <c r="AB433" s="35">
        <f t="shared" si="15"/>
        <v>168.36240000000001</v>
      </c>
      <c r="AC433" s="93">
        <f>Tabla1[[#This Row],[STOCK JUNIO ]]*Tabla1[[#This Row],[COSTO UNITARIO SIN ITBIS]]</f>
        <v>0</v>
      </c>
    </row>
    <row r="434" spans="1:29" s="8" customFormat="1" x14ac:dyDescent="0.25">
      <c r="A434" s="261">
        <v>74</v>
      </c>
      <c r="B434" s="31">
        <v>44027</v>
      </c>
      <c r="C434" s="28" t="s">
        <v>11</v>
      </c>
      <c r="D434" s="31">
        <v>44027</v>
      </c>
      <c r="E434" s="137"/>
      <c r="F434" s="28">
        <v>1752</v>
      </c>
      <c r="G434" s="32" t="s">
        <v>286</v>
      </c>
      <c r="H434" s="63">
        <v>1</v>
      </c>
      <c r="I434" s="63"/>
      <c r="J434" s="63">
        <f>+'INVENTARIO ABRIL-JUNIO 2021'!$H434-'INVENTARIO ABRIL-JUNIO 2021'!$I434</f>
        <v>1</v>
      </c>
      <c r="K434" s="63"/>
      <c r="L434" s="63"/>
      <c r="M434" s="63"/>
      <c r="N434" s="63"/>
      <c r="O434" s="125"/>
      <c r="P434" s="63"/>
      <c r="Q434" s="63"/>
      <c r="R434" s="63">
        <v>1</v>
      </c>
      <c r="S434" s="63"/>
      <c r="T434" s="63"/>
      <c r="U434" s="63">
        <f>+Tabla1[[#This Row],[STOCK    FISICO ENERO 2021]]-Tabla1[[#This Row],[REQUISICIONES FEBRERO 2021]]</f>
        <v>1</v>
      </c>
      <c r="V434" s="63">
        <f>+Tabla1[[#This Row],[STOCK  FEBRERO 2021]]-Tabla1[[#This Row],[REQUISICIONES MARZO 2021]]+Tabla1[[#This Row],[ENTRADAS MARZO 2021]]</f>
        <v>1</v>
      </c>
      <c r="W434" s="63">
        <f>+Tabla1[[#This Row],[STOCK MARZO 2021]]-Tabla1[[#This Row],[REQUISICIONES ABRIL 2021]]+Tabla1[[#This Row],[ENTRADAS ABRIL 2021]]</f>
        <v>0</v>
      </c>
      <c r="X434" s="63">
        <f>+Tabla1[[#This Row],[STOCK ABRIL 2021]]-Tabla1[[#This Row],[REQUISICIONES MAYO 2021]]+Tabla1[[#This Row],[ENTRADAS MAYO 2021]]</f>
        <v>0</v>
      </c>
      <c r="Y434" s="63">
        <f>+Tabla1[[#This Row],[STOCK MAYO 2021]]-Tabla1[[#This Row],[REQUISICIONES JUNIO 2021]]+Tabla1[[#This Row],[ENTRADAS JUNIO 2021]]</f>
        <v>0</v>
      </c>
      <c r="Z434" s="30" t="s">
        <v>12</v>
      </c>
      <c r="AA434" s="34">
        <v>126</v>
      </c>
      <c r="AB434" s="35">
        <f t="shared" si="15"/>
        <v>148.68</v>
      </c>
      <c r="AC434" s="93">
        <f>Tabla1[[#This Row],[STOCK JUNIO ]]*Tabla1[[#This Row],[COSTO UNITARIO SIN ITBIS]]</f>
        <v>0</v>
      </c>
    </row>
    <row r="435" spans="1:29" s="8" customFormat="1" x14ac:dyDescent="0.25">
      <c r="A435" s="261">
        <v>75</v>
      </c>
      <c r="B435" s="31">
        <v>44027</v>
      </c>
      <c r="C435" s="28" t="s">
        <v>11</v>
      </c>
      <c r="D435" s="31">
        <v>44027</v>
      </c>
      <c r="E435" s="137"/>
      <c r="F435" s="28">
        <v>1753</v>
      </c>
      <c r="G435" s="32" t="s">
        <v>287</v>
      </c>
      <c r="H435" s="63">
        <v>1</v>
      </c>
      <c r="I435" s="63"/>
      <c r="J435" s="63">
        <f>+'INVENTARIO ABRIL-JUNIO 2021'!$H435-'INVENTARIO ABRIL-JUNIO 2021'!$I435</f>
        <v>1</v>
      </c>
      <c r="K435" s="63"/>
      <c r="L435" s="63"/>
      <c r="M435" s="63"/>
      <c r="N435" s="63"/>
      <c r="O435" s="125"/>
      <c r="P435" s="63"/>
      <c r="Q435" s="63"/>
      <c r="R435" s="63"/>
      <c r="S435" s="63"/>
      <c r="T435" s="63"/>
      <c r="U435" s="63">
        <f>+Tabla1[[#This Row],[STOCK    FISICO ENERO 2021]]-Tabla1[[#This Row],[REQUISICIONES FEBRERO 2021]]</f>
        <v>1</v>
      </c>
      <c r="V435" s="63">
        <f>+Tabla1[[#This Row],[STOCK  FEBRERO 2021]]-Tabla1[[#This Row],[REQUISICIONES MARZO 2021]]+Tabla1[[#This Row],[ENTRADAS MARZO 2021]]</f>
        <v>1</v>
      </c>
      <c r="W435" s="63">
        <f>+Tabla1[[#This Row],[STOCK MARZO 2021]]-Tabla1[[#This Row],[REQUISICIONES ABRIL 2021]]+Tabla1[[#This Row],[ENTRADAS ABRIL 2021]]</f>
        <v>1</v>
      </c>
      <c r="X435" s="63">
        <f>+Tabla1[[#This Row],[STOCK ABRIL 2021]]-Tabla1[[#This Row],[REQUISICIONES MAYO 2021]]+Tabla1[[#This Row],[ENTRADAS MAYO 2021]]</f>
        <v>1</v>
      </c>
      <c r="Y435" s="63">
        <f>+Tabla1[[#This Row],[STOCK MAYO 2021]]-Tabla1[[#This Row],[REQUISICIONES JUNIO 2021]]+Tabla1[[#This Row],[ENTRADAS JUNIO 2021]]</f>
        <v>1</v>
      </c>
      <c r="Z435" s="30" t="s">
        <v>12</v>
      </c>
      <c r="AA435" s="34">
        <v>216.48</v>
      </c>
      <c r="AB435" s="35">
        <f t="shared" si="15"/>
        <v>255.44639999999998</v>
      </c>
      <c r="AC435" s="93">
        <f>Tabla1[[#This Row],[STOCK JUNIO ]]*Tabla1[[#This Row],[COSTO UNITARIO SIN ITBIS]]</f>
        <v>216.48</v>
      </c>
    </row>
    <row r="436" spans="1:29" s="8" customFormat="1" x14ac:dyDescent="0.25">
      <c r="A436" s="261">
        <v>76</v>
      </c>
      <c r="B436" s="31">
        <v>44027</v>
      </c>
      <c r="C436" s="28" t="s">
        <v>11</v>
      </c>
      <c r="D436" s="31">
        <v>44027</v>
      </c>
      <c r="E436" s="137"/>
      <c r="F436" s="28">
        <v>1595</v>
      </c>
      <c r="G436" s="32" t="s">
        <v>288</v>
      </c>
      <c r="H436" s="63">
        <v>1</v>
      </c>
      <c r="I436" s="63">
        <v>1</v>
      </c>
      <c r="J436" s="63">
        <f>+'INVENTARIO ABRIL-JUNIO 2021'!$H436-'INVENTARIO ABRIL-JUNIO 2021'!$I436+1</f>
        <v>1</v>
      </c>
      <c r="K436" s="63"/>
      <c r="L436" s="63"/>
      <c r="M436" s="63"/>
      <c r="N436" s="63"/>
      <c r="O436" s="125"/>
      <c r="P436" s="63">
        <v>1</v>
      </c>
      <c r="Q436" s="63"/>
      <c r="R436" s="63"/>
      <c r="S436" s="63"/>
      <c r="T436" s="63"/>
      <c r="U436" s="63">
        <f>+Tabla1[[#This Row],[STOCK    FISICO ENERO 2021]]-Tabla1[[#This Row],[REQUISICIONES FEBRERO 2021]]</f>
        <v>0</v>
      </c>
      <c r="V436" s="63">
        <f>+Tabla1[[#This Row],[STOCK  FEBRERO 2021]]-Tabla1[[#This Row],[REQUISICIONES MARZO 2021]]+Tabla1[[#This Row],[ENTRADAS MARZO 2021]]</f>
        <v>0</v>
      </c>
      <c r="W436" s="63">
        <f>+Tabla1[[#This Row],[STOCK MARZO 2021]]-Tabla1[[#This Row],[REQUISICIONES ABRIL 2021]]+Tabla1[[#This Row],[ENTRADAS ABRIL 2021]]</f>
        <v>0</v>
      </c>
      <c r="X436" s="63">
        <f>+Tabla1[[#This Row],[STOCK ABRIL 2021]]-Tabla1[[#This Row],[REQUISICIONES MAYO 2021]]+Tabla1[[#This Row],[ENTRADAS MAYO 2021]]</f>
        <v>0</v>
      </c>
      <c r="Y436" s="63">
        <f>+Tabla1[[#This Row],[STOCK MAYO 2021]]-Tabla1[[#This Row],[REQUISICIONES JUNIO 2021]]+Tabla1[[#This Row],[ENTRADAS JUNIO 2021]]</f>
        <v>0</v>
      </c>
      <c r="Z436" s="30" t="s">
        <v>105</v>
      </c>
      <c r="AA436" s="34">
        <v>508.47</v>
      </c>
      <c r="AB436" s="35">
        <f t="shared" si="15"/>
        <v>599.99459999999999</v>
      </c>
      <c r="AC436" s="93">
        <f>Tabla1[[#This Row],[STOCK JUNIO ]]*Tabla1[[#This Row],[COSTO UNITARIO SIN ITBIS]]</f>
        <v>0</v>
      </c>
    </row>
    <row r="437" spans="1:29" s="8" customFormat="1" x14ac:dyDescent="0.25">
      <c r="A437" s="261">
        <v>77</v>
      </c>
      <c r="B437" s="31">
        <v>43223</v>
      </c>
      <c r="C437" s="28" t="s">
        <v>11</v>
      </c>
      <c r="D437" s="31">
        <v>43223</v>
      </c>
      <c r="E437" s="137"/>
      <c r="F437" s="28">
        <v>1315</v>
      </c>
      <c r="G437" s="32" t="s">
        <v>289</v>
      </c>
      <c r="H437" s="63">
        <v>0</v>
      </c>
      <c r="I437" s="63"/>
      <c r="J437" s="63">
        <f>+'INVENTARIO ABRIL-JUNIO 2021'!$H437-'INVENTARIO ABRIL-JUNIO 2021'!$I437</f>
        <v>0</v>
      </c>
      <c r="K437" s="63"/>
      <c r="L437" s="63"/>
      <c r="M437" s="63"/>
      <c r="N437" s="63"/>
      <c r="O437" s="125"/>
      <c r="P437" s="63"/>
      <c r="Q437" s="63"/>
      <c r="R437" s="63"/>
      <c r="S437" s="63"/>
      <c r="T437" s="63"/>
      <c r="U437" s="63">
        <f>+Tabla1[[#This Row],[STOCK    FISICO ENERO 2021]]-Tabla1[[#This Row],[REQUISICIONES FEBRERO 2021]]</f>
        <v>0</v>
      </c>
      <c r="V437" s="63">
        <f>+Tabla1[[#This Row],[STOCK  FEBRERO 2021]]-Tabla1[[#This Row],[REQUISICIONES MARZO 2021]]+Tabla1[[#This Row],[ENTRADAS MARZO 2021]]</f>
        <v>0</v>
      </c>
      <c r="W437" s="63">
        <f>+Tabla1[[#This Row],[STOCK MARZO 2021]]-Tabla1[[#This Row],[REQUISICIONES ABRIL 2021]]+Tabla1[[#This Row],[ENTRADAS ABRIL 2021]]</f>
        <v>0</v>
      </c>
      <c r="X437" s="63">
        <f>+Tabla1[[#This Row],[STOCK ABRIL 2021]]-Tabla1[[#This Row],[REQUISICIONES MAYO 2021]]+Tabla1[[#This Row],[ENTRADAS MAYO 2021]]</f>
        <v>0</v>
      </c>
      <c r="Y437" s="63">
        <f>+Tabla1[[#This Row],[STOCK MAYO 2021]]-Tabla1[[#This Row],[REQUISICIONES JUNIO 2021]]+Tabla1[[#This Row],[ENTRADAS JUNIO 2021]]</f>
        <v>0</v>
      </c>
      <c r="Z437" s="30" t="s">
        <v>12</v>
      </c>
      <c r="AA437" s="34">
        <v>48.99</v>
      </c>
      <c r="AB437" s="35">
        <f t="shared" si="15"/>
        <v>57.808199999999999</v>
      </c>
      <c r="AC437" s="93">
        <f>Tabla1[[#This Row],[STOCK JUNIO ]]*Tabla1[[#This Row],[COSTO UNITARIO SIN ITBIS]]</f>
        <v>0</v>
      </c>
    </row>
    <row r="438" spans="1:29" s="8" customFormat="1" x14ac:dyDescent="0.25">
      <c r="A438" s="261">
        <v>78</v>
      </c>
      <c r="B438" s="31">
        <v>44026</v>
      </c>
      <c r="C438" s="28" t="s">
        <v>11</v>
      </c>
      <c r="D438" s="31">
        <v>44026</v>
      </c>
      <c r="E438" s="137"/>
      <c r="F438" s="28">
        <v>1629</v>
      </c>
      <c r="G438" s="32" t="s">
        <v>290</v>
      </c>
      <c r="H438" s="63">
        <v>4</v>
      </c>
      <c r="I438" s="63"/>
      <c r="J438" s="63">
        <f>+'INVENTARIO ABRIL-JUNIO 2021'!$H438-'INVENTARIO ABRIL-JUNIO 2021'!$I438</f>
        <v>4</v>
      </c>
      <c r="K438" s="63"/>
      <c r="L438" s="63"/>
      <c r="M438" s="63"/>
      <c r="N438" s="63"/>
      <c r="O438" s="125"/>
      <c r="P438" s="63"/>
      <c r="Q438" s="63">
        <v>1</v>
      </c>
      <c r="R438" s="63"/>
      <c r="S438" s="63"/>
      <c r="T438" s="63"/>
      <c r="U438" s="63">
        <f>+Tabla1[[#This Row],[STOCK    FISICO ENERO 2021]]-Tabla1[[#This Row],[REQUISICIONES FEBRERO 2021]]</f>
        <v>4</v>
      </c>
      <c r="V438" s="63">
        <f>+Tabla1[[#This Row],[STOCK  FEBRERO 2021]]-Tabla1[[#This Row],[REQUISICIONES MARZO 2021]]+Tabla1[[#This Row],[ENTRADAS MARZO 2021]]</f>
        <v>3</v>
      </c>
      <c r="W438" s="63">
        <f>+Tabla1[[#This Row],[STOCK MARZO 2021]]-Tabla1[[#This Row],[REQUISICIONES ABRIL 2021]]+Tabla1[[#This Row],[ENTRADAS ABRIL 2021]]</f>
        <v>3</v>
      </c>
      <c r="X438" s="63">
        <f>+Tabla1[[#This Row],[STOCK ABRIL 2021]]-Tabla1[[#This Row],[REQUISICIONES MAYO 2021]]+Tabla1[[#This Row],[ENTRADAS MAYO 2021]]</f>
        <v>3</v>
      </c>
      <c r="Y438" s="63">
        <f>+Tabla1[[#This Row],[STOCK MAYO 2021]]-Tabla1[[#This Row],[REQUISICIONES JUNIO 2021]]+Tabla1[[#This Row],[ENTRADAS JUNIO 2021]]</f>
        <v>3</v>
      </c>
      <c r="Z438" s="30" t="s">
        <v>105</v>
      </c>
      <c r="AA438" s="34">
        <v>813.56</v>
      </c>
      <c r="AB438" s="35">
        <f t="shared" si="15"/>
        <v>960.00079999999991</v>
      </c>
      <c r="AC438" s="93">
        <f>Tabla1[[#This Row],[STOCK JUNIO ]]*Tabla1[[#This Row],[COSTO UNITARIO SIN ITBIS]]</f>
        <v>2440.6799999999998</v>
      </c>
    </row>
    <row r="439" spans="1:29" s="8" customFormat="1" x14ac:dyDescent="0.25">
      <c r="A439" s="261">
        <v>79</v>
      </c>
      <c r="B439" s="31">
        <v>44168</v>
      </c>
      <c r="C439" s="28" t="s">
        <v>11</v>
      </c>
      <c r="D439" s="31">
        <v>44152</v>
      </c>
      <c r="E439" s="137"/>
      <c r="F439" s="28">
        <v>1185</v>
      </c>
      <c r="G439" s="32" t="s">
        <v>291</v>
      </c>
      <c r="H439" s="63">
        <v>10</v>
      </c>
      <c r="I439" s="63"/>
      <c r="J439" s="63">
        <f>+'INVENTARIO ABRIL-JUNIO 2021'!$H439-'INVENTARIO ABRIL-JUNIO 2021'!$I439</f>
        <v>10</v>
      </c>
      <c r="K439" s="63"/>
      <c r="L439" s="63"/>
      <c r="M439" s="63"/>
      <c r="N439" s="63"/>
      <c r="O439" s="125"/>
      <c r="P439" s="63">
        <v>1</v>
      </c>
      <c r="Q439" s="63">
        <f>2</f>
        <v>2</v>
      </c>
      <c r="R439" s="63">
        <f>1+1+1+1+1+1</f>
        <v>6</v>
      </c>
      <c r="S439" s="63">
        <v>1</v>
      </c>
      <c r="T439" s="63"/>
      <c r="U439" s="63">
        <f>+Tabla1[[#This Row],[STOCK    FISICO ENERO 2021]]-Tabla1[[#This Row],[REQUISICIONES FEBRERO 2021]]</f>
        <v>9</v>
      </c>
      <c r="V439" s="63">
        <f>+Tabla1[[#This Row],[STOCK  FEBRERO 2021]]-Tabla1[[#This Row],[REQUISICIONES MARZO 2021]]+Tabla1[[#This Row],[ENTRADAS MARZO 2021]]</f>
        <v>7</v>
      </c>
      <c r="W439" s="63">
        <f>+Tabla1[[#This Row],[STOCK MARZO 2021]]-Tabla1[[#This Row],[REQUISICIONES ABRIL 2021]]+Tabla1[[#This Row],[ENTRADAS ABRIL 2021]]</f>
        <v>1</v>
      </c>
      <c r="X439" s="63">
        <f>+Tabla1[[#This Row],[STOCK ABRIL 2021]]-Tabla1[[#This Row],[REQUISICIONES MAYO 2021]]+Tabla1[[#This Row],[ENTRADAS MAYO 2021]]</f>
        <v>0</v>
      </c>
      <c r="Y439" s="63">
        <f>+Tabla1[[#This Row],[STOCK MAYO 2021]]-Tabla1[[#This Row],[REQUISICIONES JUNIO 2021]]+Tabla1[[#This Row],[ENTRADAS JUNIO 2021]]</f>
        <v>0</v>
      </c>
      <c r="Z439" s="30" t="s">
        <v>12</v>
      </c>
      <c r="AA439" s="34">
        <v>383.5</v>
      </c>
      <c r="AB439" s="35">
        <f t="shared" si="15"/>
        <v>452.53</v>
      </c>
      <c r="AC439" s="93">
        <f>Tabla1[[#This Row],[STOCK JUNIO ]]*Tabla1[[#This Row],[COSTO UNITARIO SIN ITBIS]]</f>
        <v>0</v>
      </c>
    </row>
    <row r="440" spans="1:29" s="8" customFormat="1" x14ac:dyDescent="0.25">
      <c r="A440" s="261">
        <v>80</v>
      </c>
      <c r="B440" s="31">
        <v>43075</v>
      </c>
      <c r="C440" s="28" t="s">
        <v>11</v>
      </c>
      <c r="D440" s="31">
        <v>43075</v>
      </c>
      <c r="E440" s="137"/>
      <c r="F440" s="28">
        <v>1183</v>
      </c>
      <c r="G440" s="32" t="s">
        <v>292</v>
      </c>
      <c r="H440" s="63"/>
      <c r="I440" s="63"/>
      <c r="J440" s="63">
        <f>+'INVENTARIO ABRIL-JUNIO 2021'!$H440-'INVENTARIO ABRIL-JUNIO 2021'!$I440</f>
        <v>0</v>
      </c>
      <c r="K440" s="63"/>
      <c r="L440" s="63"/>
      <c r="M440" s="63"/>
      <c r="N440" s="63"/>
      <c r="O440" s="125"/>
      <c r="P440" s="63"/>
      <c r="Q440" s="63"/>
      <c r="R440" s="63"/>
      <c r="S440" s="63"/>
      <c r="T440" s="63"/>
      <c r="U440" s="63">
        <f>+Tabla1[[#This Row],[STOCK    FISICO ENERO 2021]]-Tabla1[[#This Row],[REQUISICIONES FEBRERO 2021]]</f>
        <v>0</v>
      </c>
      <c r="V440" s="63">
        <f>+Tabla1[[#This Row],[STOCK  FEBRERO 2021]]-Tabla1[[#This Row],[REQUISICIONES MARZO 2021]]+Tabla1[[#This Row],[ENTRADAS MARZO 2021]]</f>
        <v>0</v>
      </c>
      <c r="W440" s="63">
        <f>+Tabla1[[#This Row],[STOCK MARZO 2021]]-Tabla1[[#This Row],[REQUISICIONES ABRIL 2021]]+Tabla1[[#This Row],[ENTRADAS ABRIL 2021]]</f>
        <v>0</v>
      </c>
      <c r="X440" s="63">
        <f>+Tabla1[[#This Row],[STOCK ABRIL 2021]]-Tabla1[[#This Row],[REQUISICIONES MAYO 2021]]+Tabla1[[#This Row],[ENTRADAS MAYO 2021]]</f>
        <v>0</v>
      </c>
      <c r="Y440" s="63">
        <f>+Tabla1[[#This Row],[STOCK MAYO 2021]]-Tabla1[[#This Row],[REQUISICIONES JUNIO 2021]]+Tabla1[[#This Row],[ENTRADAS JUNIO 2021]]</f>
        <v>0</v>
      </c>
      <c r="Z440" s="30" t="s">
        <v>12</v>
      </c>
      <c r="AA440" s="34">
        <v>25</v>
      </c>
      <c r="AB440" s="35">
        <f t="shared" si="15"/>
        <v>29.5</v>
      </c>
      <c r="AC440" s="93">
        <f>Tabla1[[#This Row],[STOCK JUNIO ]]*Tabla1[[#This Row],[COSTO UNITARIO SIN ITBIS]]</f>
        <v>0</v>
      </c>
    </row>
    <row r="441" spans="1:29" s="8" customFormat="1" x14ac:dyDescent="0.25">
      <c r="A441" s="261">
        <v>81</v>
      </c>
      <c r="B441" s="31">
        <v>43075</v>
      </c>
      <c r="C441" s="28" t="s">
        <v>11</v>
      </c>
      <c r="D441" s="31">
        <v>43075</v>
      </c>
      <c r="E441" s="137"/>
      <c r="F441" s="28">
        <v>1184</v>
      </c>
      <c r="G441" s="32" t="s">
        <v>293</v>
      </c>
      <c r="H441" s="63"/>
      <c r="I441" s="63"/>
      <c r="J441" s="63">
        <f>+'INVENTARIO ABRIL-JUNIO 2021'!$H441-'INVENTARIO ABRIL-JUNIO 2021'!$I441</f>
        <v>0</v>
      </c>
      <c r="K441" s="63"/>
      <c r="L441" s="63"/>
      <c r="M441" s="63"/>
      <c r="N441" s="63"/>
      <c r="O441" s="125"/>
      <c r="P441" s="63"/>
      <c r="Q441" s="63"/>
      <c r="R441" s="63"/>
      <c r="S441" s="63"/>
      <c r="T441" s="63"/>
      <c r="U441" s="63">
        <f>+Tabla1[[#This Row],[STOCK    FISICO ENERO 2021]]-Tabla1[[#This Row],[REQUISICIONES FEBRERO 2021]]</f>
        <v>0</v>
      </c>
      <c r="V441" s="63">
        <f>+Tabla1[[#This Row],[STOCK  FEBRERO 2021]]-Tabla1[[#This Row],[REQUISICIONES MARZO 2021]]+Tabla1[[#This Row],[ENTRADAS MARZO 2021]]</f>
        <v>0</v>
      </c>
      <c r="W441" s="63">
        <f>+Tabla1[[#This Row],[STOCK MARZO 2021]]-Tabla1[[#This Row],[REQUISICIONES ABRIL 2021]]+Tabla1[[#This Row],[ENTRADAS ABRIL 2021]]</f>
        <v>0</v>
      </c>
      <c r="X441" s="63">
        <f>+Tabla1[[#This Row],[STOCK ABRIL 2021]]-Tabla1[[#This Row],[REQUISICIONES MAYO 2021]]+Tabla1[[#This Row],[ENTRADAS MAYO 2021]]</f>
        <v>0</v>
      </c>
      <c r="Y441" s="63">
        <f>+Tabla1[[#This Row],[STOCK MAYO 2021]]-Tabla1[[#This Row],[REQUISICIONES JUNIO 2021]]+Tabla1[[#This Row],[ENTRADAS JUNIO 2021]]</f>
        <v>0</v>
      </c>
      <c r="Z441" s="30" t="s">
        <v>12</v>
      </c>
      <c r="AA441" s="34">
        <v>25</v>
      </c>
      <c r="AB441" s="35">
        <f t="shared" si="15"/>
        <v>29.5</v>
      </c>
      <c r="AC441" s="93">
        <f>Tabla1[[#This Row],[STOCK JUNIO ]]*Tabla1[[#This Row],[COSTO UNITARIO SIN ITBIS]]</f>
        <v>0</v>
      </c>
    </row>
    <row r="442" spans="1:29" s="8" customFormat="1" x14ac:dyDescent="0.25">
      <c r="A442" s="261">
        <v>82</v>
      </c>
      <c r="B442" s="31">
        <v>44028</v>
      </c>
      <c r="C442" s="28" t="s">
        <v>11</v>
      </c>
      <c r="D442" s="31">
        <v>44028</v>
      </c>
      <c r="E442" s="137"/>
      <c r="F442" s="28">
        <v>1814</v>
      </c>
      <c r="G442" s="32" t="s">
        <v>294</v>
      </c>
      <c r="H442" s="63"/>
      <c r="I442" s="63"/>
      <c r="J442" s="63">
        <f>+'INVENTARIO ABRIL-JUNIO 2021'!$H442-'INVENTARIO ABRIL-JUNIO 2021'!$I442</f>
        <v>0</v>
      </c>
      <c r="K442" s="63"/>
      <c r="L442" s="63"/>
      <c r="M442" s="63"/>
      <c r="N442" s="63"/>
      <c r="O442" s="125"/>
      <c r="P442" s="63"/>
      <c r="Q442" s="63"/>
      <c r="R442" s="63"/>
      <c r="S442" s="63"/>
      <c r="T442" s="63"/>
      <c r="U442" s="63">
        <f>+Tabla1[[#This Row],[STOCK    FISICO ENERO 2021]]-Tabla1[[#This Row],[REQUISICIONES FEBRERO 2021]]</f>
        <v>0</v>
      </c>
      <c r="V442" s="63">
        <f>+Tabla1[[#This Row],[STOCK  FEBRERO 2021]]-Tabla1[[#This Row],[REQUISICIONES MARZO 2021]]+Tabla1[[#This Row],[ENTRADAS MARZO 2021]]</f>
        <v>0</v>
      </c>
      <c r="W442" s="63">
        <f>+Tabla1[[#This Row],[STOCK MARZO 2021]]-Tabla1[[#This Row],[REQUISICIONES ABRIL 2021]]+Tabla1[[#This Row],[ENTRADAS ABRIL 2021]]</f>
        <v>0</v>
      </c>
      <c r="X442" s="63">
        <f>+Tabla1[[#This Row],[STOCK ABRIL 2021]]-Tabla1[[#This Row],[REQUISICIONES MAYO 2021]]+Tabla1[[#This Row],[ENTRADAS MAYO 2021]]</f>
        <v>0</v>
      </c>
      <c r="Y442" s="63">
        <f>+Tabla1[[#This Row],[STOCK MAYO 2021]]-Tabla1[[#This Row],[REQUISICIONES JUNIO 2021]]+Tabla1[[#This Row],[ENTRADAS JUNIO 2021]]</f>
        <v>0</v>
      </c>
      <c r="Z442" s="30" t="s">
        <v>105</v>
      </c>
      <c r="AA442" s="34">
        <v>260.76</v>
      </c>
      <c r="AB442" s="35">
        <f t="shared" si="15"/>
        <v>307.6968</v>
      </c>
      <c r="AC442" s="93">
        <f>Tabla1[[#This Row],[STOCK JUNIO ]]*Tabla1[[#This Row],[COSTO UNITARIO SIN ITBIS]]</f>
        <v>0</v>
      </c>
    </row>
    <row r="443" spans="1:29" s="8" customFormat="1" x14ac:dyDescent="0.25">
      <c r="A443" s="261">
        <v>83</v>
      </c>
      <c r="B443" s="31"/>
      <c r="C443" s="28" t="s">
        <v>11</v>
      </c>
      <c r="D443" s="31"/>
      <c r="E443" s="137"/>
      <c r="F443" s="28"/>
      <c r="G443" s="32" t="s">
        <v>296</v>
      </c>
      <c r="H443" s="63">
        <v>5</v>
      </c>
      <c r="I443" s="63"/>
      <c r="J443" s="63">
        <f>+'INVENTARIO ABRIL-JUNIO 2021'!$H443-'INVENTARIO ABRIL-JUNIO 2021'!$I443</f>
        <v>5</v>
      </c>
      <c r="K443" s="63"/>
      <c r="L443" s="63"/>
      <c r="M443" s="63"/>
      <c r="N443" s="63"/>
      <c r="O443" s="125"/>
      <c r="P443" s="63"/>
      <c r="Q443" s="63"/>
      <c r="R443" s="63"/>
      <c r="S443" s="63"/>
      <c r="T443" s="63"/>
      <c r="U443" s="63">
        <f>+Tabla1[[#This Row],[STOCK    FISICO ENERO 2021]]-Tabla1[[#This Row],[REQUISICIONES FEBRERO 2021]]</f>
        <v>5</v>
      </c>
      <c r="V443" s="63">
        <f>+Tabla1[[#This Row],[STOCK  FEBRERO 2021]]-Tabla1[[#This Row],[REQUISICIONES MARZO 2021]]+Tabla1[[#This Row],[ENTRADAS MARZO 2021]]</f>
        <v>5</v>
      </c>
      <c r="W443" s="63">
        <f>+Tabla1[[#This Row],[STOCK MARZO 2021]]-Tabla1[[#This Row],[REQUISICIONES ABRIL 2021]]+Tabla1[[#This Row],[ENTRADAS ABRIL 2021]]</f>
        <v>5</v>
      </c>
      <c r="X443" s="63">
        <f>+Tabla1[[#This Row],[STOCK ABRIL 2021]]-Tabla1[[#This Row],[REQUISICIONES MAYO 2021]]+Tabla1[[#This Row],[ENTRADAS MAYO 2021]]</f>
        <v>5</v>
      </c>
      <c r="Y443" s="63">
        <f>+Tabla1[[#This Row],[STOCK MAYO 2021]]-Tabla1[[#This Row],[REQUISICIONES JUNIO 2021]]+Tabla1[[#This Row],[ENTRADAS JUNIO 2021]]</f>
        <v>5</v>
      </c>
      <c r="Z443" s="30" t="s">
        <v>105</v>
      </c>
      <c r="AA443" s="34">
        <v>0</v>
      </c>
      <c r="AB443" s="35">
        <f t="shared" si="15"/>
        <v>0</v>
      </c>
      <c r="AC443" s="93">
        <f>Tabla1[[#This Row],[STOCK JUNIO ]]*Tabla1[[#This Row],[COSTO UNITARIO SIN ITBIS]]</f>
        <v>0</v>
      </c>
    </row>
    <row r="444" spans="1:29" s="8" customFormat="1" x14ac:dyDescent="0.25">
      <c r="A444" s="261">
        <v>84</v>
      </c>
      <c r="B444" s="31">
        <v>44026</v>
      </c>
      <c r="C444" s="28" t="s">
        <v>11</v>
      </c>
      <c r="D444" s="31">
        <v>44026</v>
      </c>
      <c r="E444" s="137"/>
      <c r="F444" s="28">
        <v>1646</v>
      </c>
      <c r="G444" s="32" t="s">
        <v>295</v>
      </c>
      <c r="H444" s="63">
        <v>2</v>
      </c>
      <c r="I444" s="63"/>
      <c r="J444" s="63">
        <f>+'INVENTARIO ABRIL-JUNIO 2021'!$H444-'INVENTARIO ABRIL-JUNIO 2021'!$I444</f>
        <v>2</v>
      </c>
      <c r="K444" s="63"/>
      <c r="L444" s="63"/>
      <c r="M444" s="63"/>
      <c r="N444" s="63"/>
      <c r="O444" s="125"/>
      <c r="P444" s="63"/>
      <c r="Q444" s="63"/>
      <c r="R444" s="63">
        <v>1</v>
      </c>
      <c r="S444" s="63">
        <v>1</v>
      </c>
      <c r="T444" s="63"/>
      <c r="U444" s="63">
        <f>+Tabla1[[#This Row],[STOCK    FISICO ENERO 2021]]-Tabla1[[#This Row],[REQUISICIONES FEBRERO 2021]]</f>
        <v>2</v>
      </c>
      <c r="V444" s="63">
        <f>+Tabla1[[#This Row],[STOCK  FEBRERO 2021]]-Tabla1[[#This Row],[REQUISICIONES MARZO 2021]]+Tabla1[[#This Row],[ENTRADAS MARZO 2021]]</f>
        <v>2</v>
      </c>
      <c r="W444" s="63">
        <f>+Tabla1[[#This Row],[STOCK MARZO 2021]]-Tabla1[[#This Row],[REQUISICIONES ABRIL 2021]]+Tabla1[[#This Row],[ENTRADAS ABRIL 2021]]</f>
        <v>1</v>
      </c>
      <c r="X444" s="63">
        <f>+Tabla1[[#This Row],[STOCK ABRIL 2021]]-Tabla1[[#This Row],[REQUISICIONES MAYO 2021]]+Tabla1[[#This Row],[ENTRADAS MAYO 2021]]</f>
        <v>0</v>
      </c>
      <c r="Y444" s="63">
        <f>+Tabla1[[#This Row],[STOCK MAYO 2021]]-Tabla1[[#This Row],[REQUISICIONES JUNIO 2021]]+Tabla1[[#This Row],[ENTRADAS JUNIO 2021]]</f>
        <v>0</v>
      </c>
      <c r="Z444" s="30" t="s">
        <v>105</v>
      </c>
      <c r="AA444" s="34">
        <v>2745.76</v>
      </c>
      <c r="AB444" s="35">
        <f t="shared" si="15"/>
        <v>3239.9968000000003</v>
      </c>
      <c r="AC444" s="93">
        <f>Tabla1[[#This Row],[STOCK JUNIO ]]*Tabla1[[#This Row],[COSTO UNITARIO SIN ITBIS]]</f>
        <v>0</v>
      </c>
    </row>
    <row r="445" spans="1:29" s="8" customFormat="1" x14ac:dyDescent="0.25">
      <c r="A445" s="261">
        <v>85</v>
      </c>
      <c r="B445" s="31">
        <v>44026</v>
      </c>
      <c r="C445" s="28" t="s">
        <v>11</v>
      </c>
      <c r="D445" s="31">
        <v>44026</v>
      </c>
      <c r="E445" s="137"/>
      <c r="F445" s="28">
        <v>1626</v>
      </c>
      <c r="G445" s="32" t="s">
        <v>297</v>
      </c>
      <c r="H445" s="63">
        <v>80</v>
      </c>
      <c r="I445" s="63"/>
      <c r="J445" s="63">
        <f>+'INVENTARIO ABRIL-JUNIO 2021'!$H445-'INVENTARIO ABRIL-JUNIO 2021'!$I445</f>
        <v>80</v>
      </c>
      <c r="K445" s="63"/>
      <c r="L445" s="63"/>
      <c r="M445" s="63"/>
      <c r="N445" s="63"/>
      <c r="O445" s="125"/>
      <c r="P445" s="63">
        <f>1+1</f>
        <v>2</v>
      </c>
      <c r="Q445" s="63"/>
      <c r="R445" s="63">
        <v>1</v>
      </c>
      <c r="S445" s="63"/>
      <c r="T445" s="63"/>
      <c r="U445" s="63">
        <f>+Tabla1[[#This Row],[STOCK    FISICO ENERO 2021]]-Tabla1[[#This Row],[REQUISICIONES FEBRERO 2021]]</f>
        <v>78</v>
      </c>
      <c r="V445" s="63">
        <f>+Tabla1[[#This Row],[STOCK  FEBRERO 2021]]-Tabla1[[#This Row],[REQUISICIONES MARZO 2021]]+Tabla1[[#This Row],[ENTRADAS MARZO 2021]]</f>
        <v>78</v>
      </c>
      <c r="W445" s="63">
        <f>+Tabla1[[#This Row],[STOCK MARZO 2021]]-Tabla1[[#This Row],[REQUISICIONES ABRIL 2021]]+Tabla1[[#This Row],[ENTRADAS ABRIL 2021]]</f>
        <v>77</v>
      </c>
      <c r="X445" s="63">
        <f>+Tabla1[[#This Row],[STOCK ABRIL 2021]]-Tabla1[[#This Row],[REQUISICIONES MAYO 2021]]+Tabla1[[#This Row],[ENTRADAS MAYO 2021]]</f>
        <v>77</v>
      </c>
      <c r="Y445" s="63">
        <f>+Tabla1[[#This Row],[STOCK MAYO 2021]]-Tabla1[[#This Row],[REQUISICIONES JUNIO 2021]]+Tabla1[[#This Row],[ENTRADAS JUNIO 2021]]</f>
        <v>77</v>
      </c>
      <c r="Z445" s="30" t="s">
        <v>12</v>
      </c>
      <c r="AA445" s="34">
        <v>297.86</v>
      </c>
      <c r="AB445" s="35">
        <f t="shared" si="15"/>
        <v>351.47480000000002</v>
      </c>
      <c r="AC445" s="93">
        <f>Tabla1[[#This Row],[STOCK JUNIO ]]*Tabla1[[#This Row],[COSTO UNITARIO SIN ITBIS]]</f>
        <v>22935.22</v>
      </c>
    </row>
    <row r="446" spans="1:29" s="8" customFormat="1" x14ac:dyDescent="0.25">
      <c r="A446" s="261">
        <v>86</v>
      </c>
      <c r="B446" s="31">
        <v>43087</v>
      </c>
      <c r="C446" s="28" t="s">
        <v>11</v>
      </c>
      <c r="D446" s="31">
        <v>43087</v>
      </c>
      <c r="E446" s="137"/>
      <c r="F446" s="28">
        <v>1239</v>
      </c>
      <c r="G446" s="32" t="s">
        <v>298</v>
      </c>
      <c r="H446" s="63">
        <v>3</v>
      </c>
      <c r="I446" s="63"/>
      <c r="J446" s="63">
        <f>+'INVENTARIO ABRIL-JUNIO 2021'!$H446-'INVENTARIO ABRIL-JUNIO 2021'!$I446</f>
        <v>3</v>
      </c>
      <c r="K446" s="63"/>
      <c r="L446" s="63"/>
      <c r="M446" s="63"/>
      <c r="N446" s="63"/>
      <c r="O446" s="125"/>
      <c r="P446" s="63"/>
      <c r="Q446" s="63"/>
      <c r="R446" s="63"/>
      <c r="S446" s="63"/>
      <c r="T446" s="63"/>
      <c r="U446" s="63">
        <f>+Tabla1[[#This Row],[STOCK    FISICO ENERO 2021]]-Tabla1[[#This Row],[REQUISICIONES FEBRERO 2021]]</f>
        <v>3</v>
      </c>
      <c r="V446" s="63">
        <f>+Tabla1[[#This Row],[STOCK  FEBRERO 2021]]-Tabla1[[#This Row],[REQUISICIONES MARZO 2021]]+Tabla1[[#This Row],[ENTRADAS MARZO 2021]]</f>
        <v>3</v>
      </c>
      <c r="W446" s="63">
        <f>+Tabla1[[#This Row],[STOCK MARZO 2021]]-Tabla1[[#This Row],[REQUISICIONES ABRIL 2021]]+Tabla1[[#This Row],[ENTRADAS ABRIL 2021]]</f>
        <v>3</v>
      </c>
      <c r="X446" s="63">
        <f>+Tabla1[[#This Row],[STOCK ABRIL 2021]]-Tabla1[[#This Row],[REQUISICIONES MAYO 2021]]+Tabla1[[#This Row],[ENTRADAS MAYO 2021]]</f>
        <v>3</v>
      </c>
      <c r="Y446" s="63">
        <f>+Tabla1[[#This Row],[STOCK MAYO 2021]]-Tabla1[[#This Row],[REQUISICIONES JUNIO 2021]]+Tabla1[[#This Row],[ENTRADAS JUNIO 2021]]</f>
        <v>3</v>
      </c>
      <c r="Z446" s="30" t="s">
        <v>12</v>
      </c>
      <c r="AA446" s="34">
        <v>11.1</v>
      </c>
      <c r="AB446" s="35">
        <f t="shared" si="15"/>
        <v>13.097999999999999</v>
      </c>
      <c r="AC446" s="93">
        <f>Tabla1[[#This Row],[STOCK JUNIO ]]*Tabla1[[#This Row],[COSTO UNITARIO SIN ITBIS]]</f>
        <v>33.299999999999997</v>
      </c>
    </row>
    <row r="447" spans="1:29" s="8" customFormat="1" x14ac:dyDescent="0.25">
      <c r="A447" s="261">
        <v>87</v>
      </c>
      <c r="B447" s="31">
        <v>43087</v>
      </c>
      <c r="C447" s="28" t="s">
        <v>11</v>
      </c>
      <c r="D447" s="31">
        <v>43087</v>
      </c>
      <c r="E447" s="137"/>
      <c r="F447" s="28">
        <v>1238</v>
      </c>
      <c r="G447" s="32" t="s">
        <v>299</v>
      </c>
      <c r="H447" s="63">
        <f>28+15</f>
        <v>43</v>
      </c>
      <c r="I447" s="63">
        <v>2</v>
      </c>
      <c r="J447" s="63">
        <f>+'INVENTARIO ABRIL-JUNIO 2021'!$H447-'INVENTARIO ABRIL-JUNIO 2021'!$I447</f>
        <v>41</v>
      </c>
      <c r="K447" s="63"/>
      <c r="L447" s="63"/>
      <c r="M447" s="63"/>
      <c r="N447" s="63"/>
      <c r="O447" s="125"/>
      <c r="P447" s="63">
        <f>1+2+2+1</f>
        <v>6</v>
      </c>
      <c r="Q447" s="63"/>
      <c r="R447" s="63">
        <f>4+2+1</f>
        <v>7</v>
      </c>
      <c r="S447" s="63">
        <f>3+1+1+5</f>
        <v>10</v>
      </c>
      <c r="T447" s="63">
        <f>1+2+3</f>
        <v>6</v>
      </c>
      <c r="U447" s="63">
        <f>+Tabla1[[#This Row],[STOCK    FISICO ENERO 2021]]-Tabla1[[#This Row],[REQUISICIONES FEBRERO 2021]]</f>
        <v>35</v>
      </c>
      <c r="V447" s="63">
        <f>+Tabla1[[#This Row],[STOCK  FEBRERO 2021]]-Tabla1[[#This Row],[REQUISICIONES MARZO 2021]]+Tabla1[[#This Row],[ENTRADAS MARZO 2021]]</f>
        <v>35</v>
      </c>
      <c r="W447" s="63">
        <f>+Tabla1[[#This Row],[STOCK MARZO 2021]]-Tabla1[[#This Row],[REQUISICIONES ABRIL 2021]]+Tabla1[[#This Row],[ENTRADAS ABRIL 2021]]</f>
        <v>28</v>
      </c>
      <c r="X447" s="63">
        <f>+Tabla1[[#This Row],[STOCK ABRIL 2021]]-Tabla1[[#This Row],[REQUISICIONES MAYO 2021]]+Tabla1[[#This Row],[ENTRADAS MAYO 2021]]</f>
        <v>18</v>
      </c>
      <c r="Y447" s="63">
        <f>+Tabla1[[#This Row],[STOCK MAYO 2021]]-Tabla1[[#This Row],[REQUISICIONES JUNIO 2021]]+Tabla1[[#This Row],[ENTRADAS JUNIO 2021]]</f>
        <v>12</v>
      </c>
      <c r="Z447" s="30" t="s">
        <v>12</v>
      </c>
      <c r="AA447" s="34">
        <v>0</v>
      </c>
      <c r="AB447" s="35">
        <f t="shared" si="15"/>
        <v>0</v>
      </c>
      <c r="AC447" s="93">
        <f>Tabla1[[#This Row],[STOCK JUNIO ]]*Tabla1[[#This Row],[COSTO UNITARIO SIN ITBIS]]</f>
        <v>0</v>
      </c>
    </row>
    <row r="448" spans="1:29" s="8" customFormat="1" x14ac:dyDescent="0.25">
      <c r="A448" s="261">
        <v>88</v>
      </c>
      <c r="B448" s="31">
        <v>43087</v>
      </c>
      <c r="C448" s="28" t="s">
        <v>11</v>
      </c>
      <c r="D448" s="31">
        <v>43087</v>
      </c>
      <c r="E448" s="137"/>
      <c r="F448" s="28">
        <v>1241</v>
      </c>
      <c r="G448" s="32" t="s">
        <v>300</v>
      </c>
      <c r="H448" s="63">
        <v>122</v>
      </c>
      <c r="I448" s="63"/>
      <c r="J448" s="63">
        <f>+'INVENTARIO ABRIL-JUNIO 2021'!$H448-'INVENTARIO ABRIL-JUNIO 2021'!$I448</f>
        <v>122</v>
      </c>
      <c r="K448" s="63"/>
      <c r="L448" s="63"/>
      <c r="M448" s="63"/>
      <c r="N448" s="63"/>
      <c r="O448" s="125"/>
      <c r="P448" s="63">
        <v>4</v>
      </c>
      <c r="Q448" s="63"/>
      <c r="R448" s="63">
        <f>3+2+2+3</f>
        <v>10</v>
      </c>
      <c r="S448" s="63">
        <f>3+2+2+2+2+2+4+3</f>
        <v>20</v>
      </c>
      <c r="T448" s="63">
        <v>4</v>
      </c>
      <c r="U448" s="63">
        <f>+Tabla1[[#This Row],[STOCK    FISICO ENERO 2021]]-Tabla1[[#This Row],[REQUISICIONES FEBRERO 2021]]</f>
        <v>118</v>
      </c>
      <c r="V448" s="63">
        <f>+Tabla1[[#This Row],[STOCK  FEBRERO 2021]]-Tabla1[[#This Row],[REQUISICIONES MARZO 2021]]+Tabla1[[#This Row],[ENTRADAS MARZO 2021]]</f>
        <v>118</v>
      </c>
      <c r="W448" s="63">
        <f>+Tabla1[[#This Row],[STOCK MARZO 2021]]-Tabla1[[#This Row],[REQUISICIONES ABRIL 2021]]+Tabla1[[#This Row],[ENTRADAS ABRIL 2021]]</f>
        <v>108</v>
      </c>
      <c r="X448" s="63">
        <f>+Tabla1[[#This Row],[STOCK ABRIL 2021]]-Tabla1[[#This Row],[REQUISICIONES MAYO 2021]]+Tabla1[[#This Row],[ENTRADAS MAYO 2021]]</f>
        <v>88</v>
      </c>
      <c r="Y448" s="63">
        <f>+Tabla1[[#This Row],[STOCK MAYO 2021]]-Tabla1[[#This Row],[REQUISICIONES JUNIO 2021]]+Tabla1[[#This Row],[ENTRADAS JUNIO 2021]]</f>
        <v>84</v>
      </c>
      <c r="Z448" s="30" t="s">
        <v>12</v>
      </c>
      <c r="AA448" s="34">
        <v>150</v>
      </c>
      <c r="AB448" s="35">
        <f t="shared" si="15"/>
        <v>177</v>
      </c>
      <c r="AC448" s="93">
        <f>Tabla1[[#This Row],[STOCK JUNIO ]]*Tabla1[[#This Row],[COSTO UNITARIO SIN ITBIS]]</f>
        <v>12600</v>
      </c>
    </row>
    <row r="449" spans="1:29" s="8" customFormat="1" x14ac:dyDescent="0.25">
      <c r="A449" s="261">
        <v>89</v>
      </c>
      <c r="B449" s="31">
        <v>43087</v>
      </c>
      <c r="C449" s="28" t="s">
        <v>11</v>
      </c>
      <c r="D449" s="31">
        <v>43087</v>
      </c>
      <c r="E449" s="137"/>
      <c r="F449" s="28">
        <v>1240</v>
      </c>
      <c r="G449" s="32" t="s">
        <v>301</v>
      </c>
      <c r="H449" s="63">
        <v>0</v>
      </c>
      <c r="I449" s="63"/>
      <c r="J449" s="63">
        <f>+'INVENTARIO ABRIL-JUNIO 2021'!$H449-'INVENTARIO ABRIL-JUNIO 2021'!$I449</f>
        <v>0</v>
      </c>
      <c r="K449" s="63"/>
      <c r="L449" s="63"/>
      <c r="M449" s="63"/>
      <c r="N449" s="63"/>
      <c r="O449" s="125"/>
      <c r="P449" s="63"/>
      <c r="Q449" s="63"/>
      <c r="R449" s="63"/>
      <c r="S449" s="63"/>
      <c r="T449" s="63"/>
      <c r="U449" s="63">
        <f>+Tabla1[[#This Row],[STOCK    FISICO ENERO 2021]]-Tabla1[[#This Row],[REQUISICIONES FEBRERO 2021]]</f>
        <v>0</v>
      </c>
      <c r="V449" s="63">
        <f>+Tabla1[[#This Row],[STOCK  FEBRERO 2021]]-Tabla1[[#This Row],[REQUISICIONES MARZO 2021]]+Tabla1[[#This Row],[ENTRADAS MARZO 2021]]</f>
        <v>0</v>
      </c>
      <c r="W449" s="63">
        <f>+Tabla1[[#This Row],[STOCK MARZO 2021]]-Tabla1[[#This Row],[REQUISICIONES ABRIL 2021]]+Tabla1[[#This Row],[ENTRADAS ABRIL 2021]]</f>
        <v>0</v>
      </c>
      <c r="X449" s="63">
        <f>+Tabla1[[#This Row],[STOCK ABRIL 2021]]-Tabla1[[#This Row],[REQUISICIONES MAYO 2021]]+Tabla1[[#This Row],[ENTRADAS MAYO 2021]]</f>
        <v>0</v>
      </c>
      <c r="Y449" s="63">
        <f>+Tabla1[[#This Row],[STOCK MAYO 2021]]-Tabla1[[#This Row],[REQUISICIONES JUNIO 2021]]+Tabla1[[#This Row],[ENTRADAS JUNIO 2021]]</f>
        <v>0</v>
      </c>
      <c r="Z449" s="30" t="s">
        <v>12</v>
      </c>
      <c r="AA449" s="34">
        <v>0</v>
      </c>
      <c r="AB449" s="35">
        <f t="shared" si="15"/>
        <v>0</v>
      </c>
      <c r="AC449" s="93">
        <f>Tabla1[[#This Row],[STOCK JUNIO ]]*Tabla1[[#This Row],[COSTO UNITARIO SIN ITBIS]]</f>
        <v>0</v>
      </c>
    </row>
    <row r="450" spans="1:29" s="8" customFormat="1" x14ac:dyDescent="0.25">
      <c r="A450" s="261">
        <v>90</v>
      </c>
      <c r="B450" s="31">
        <v>43664</v>
      </c>
      <c r="C450" s="28" t="s">
        <v>11</v>
      </c>
      <c r="D450" s="31">
        <v>43767</v>
      </c>
      <c r="E450" s="137"/>
      <c r="F450" s="28">
        <v>1506</v>
      </c>
      <c r="G450" s="32" t="s">
        <v>302</v>
      </c>
      <c r="H450" s="63">
        <v>0</v>
      </c>
      <c r="I450" s="63"/>
      <c r="J450" s="63">
        <f>+'INVENTARIO ABRIL-JUNIO 2021'!$H450-'INVENTARIO ABRIL-JUNIO 2021'!$I450</f>
        <v>0</v>
      </c>
      <c r="K450" s="63"/>
      <c r="L450" s="63"/>
      <c r="M450" s="63"/>
      <c r="N450" s="63"/>
      <c r="O450" s="125"/>
      <c r="P450" s="63"/>
      <c r="Q450" s="63"/>
      <c r="R450" s="63"/>
      <c r="S450" s="63"/>
      <c r="T450" s="63"/>
      <c r="U450" s="63">
        <f>+Tabla1[[#This Row],[STOCK    FISICO ENERO 2021]]-Tabla1[[#This Row],[REQUISICIONES FEBRERO 2021]]</f>
        <v>0</v>
      </c>
      <c r="V450" s="63">
        <f>+Tabla1[[#This Row],[STOCK  FEBRERO 2021]]-Tabla1[[#This Row],[REQUISICIONES MARZO 2021]]+Tabla1[[#This Row],[ENTRADAS MARZO 2021]]</f>
        <v>0</v>
      </c>
      <c r="W450" s="63">
        <f>+Tabla1[[#This Row],[STOCK MARZO 2021]]-Tabla1[[#This Row],[REQUISICIONES ABRIL 2021]]+Tabla1[[#This Row],[ENTRADAS ABRIL 2021]]</f>
        <v>0</v>
      </c>
      <c r="X450" s="63">
        <f>+Tabla1[[#This Row],[STOCK ABRIL 2021]]-Tabla1[[#This Row],[REQUISICIONES MAYO 2021]]+Tabla1[[#This Row],[ENTRADAS MAYO 2021]]</f>
        <v>0</v>
      </c>
      <c r="Y450" s="63">
        <f>+Tabla1[[#This Row],[STOCK MAYO 2021]]-Tabla1[[#This Row],[REQUISICIONES JUNIO 2021]]+Tabla1[[#This Row],[ENTRADAS JUNIO 2021]]</f>
        <v>0</v>
      </c>
      <c r="Z450" s="30" t="s">
        <v>12</v>
      </c>
      <c r="AA450" s="34">
        <v>150</v>
      </c>
      <c r="AB450" s="35">
        <f t="shared" si="15"/>
        <v>177</v>
      </c>
      <c r="AC450" s="93">
        <f>Tabla1[[#This Row],[STOCK JUNIO ]]*Tabla1[[#This Row],[COSTO UNITARIO SIN ITBIS]]</f>
        <v>0</v>
      </c>
    </row>
    <row r="451" spans="1:29" s="8" customFormat="1" x14ac:dyDescent="0.25">
      <c r="A451" s="261">
        <v>91</v>
      </c>
      <c r="B451" s="31">
        <v>44110</v>
      </c>
      <c r="C451" s="28" t="s">
        <v>11</v>
      </c>
      <c r="D451" s="31">
        <v>44110</v>
      </c>
      <c r="E451" s="137"/>
      <c r="F451" s="28" t="s">
        <v>20</v>
      </c>
      <c r="G451" s="32" t="s">
        <v>303</v>
      </c>
      <c r="H451" s="63">
        <v>25</v>
      </c>
      <c r="I451" s="63">
        <v>8</v>
      </c>
      <c r="J451" s="63">
        <f>+'INVENTARIO ABRIL-JUNIO 2021'!$H451-'INVENTARIO ABRIL-JUNIO 2021'!$I451</f>
        <v>17</v>
      </c>
      <c r="K451" s="63"/>
      <c r="L451" s="63"/>
      <c r="M451" s="63"/>
      <c r="N451" s="63"/>
      <c r="O451" s="125"/>
      <c r="P451" s="63"/>
      <c r="Q451" s="63">
        <v>3</v>
      </c>
      <c r="R451" s="63"/>
      <c r="S451" s="63"/>
      <c r="T451" s="63"/>
      <c r="U451" s="63">
        <f>+Tabla1[[#This Row],[STOCK    FISICO ENERO 2021]]-Tabla1[[#This Row],[REQUISICIONES FEBRERO 2021]]</f>
        <v>17</v>
      </c>
      <c r="V451" s="63">
        <f>+Tabla1[[#This Row],[STOCK  FEBRERO 2021]]-Tabla1[[#This Row],[REQUISICIONES MARZO 2021]]+Tabla1[[#This Row],[ENTRADAS MARZO 2021]]</f>
        <v>14</v>
      </c>
      <c r="W451" s="63">
        <f>+Tabla1[[#This Row],[STOCK MARZO 2021]]-Tabla1[[#This Row],[REQUISICIONES ABRIL 2021]]+Tabla1[[#This Row],[ENTRADAS ABRIL 2021]]</f>
        <v>14</v>
      </c>
      <c r="X451" s="63">
        <f>+Tabla1[[#This Row],[STOCK ABRIL 2021]]-Tabla1[[#This Row],[REQUISICIONES MAYO 2021]]+Tabla1[[#This Row],[ENTRADAS MAYO 2021]]</f>
        <v>14</v>
      </c>
      <c r="Y451" s="63">
        <f>+Tabla1[[#This Row],[STOCK MAYO 2021]]-Tabla1[[#This Row],[REQUISICIONES JUNIO 2021]]+Tabla1[[#This Row],[ENTRADAS JUNIO 2021]]</f>
        <v>14</v>
      </c>
      <c r="Z451" s="30" t="s">
        <v>12</v>
      </c>
      <c r="AA451" s="34">
        <v>50.98</v>
      </c>
      <c r="AB451" s="35">
        <f t="shared" si="15"/>
        <v>60.156399999999998</v>
      </c>
      <c r="AC451" s="93">
        <f>Tabla1[[#This Row],[STOCK JUNIO ]]*Tabla1[[#This Row],[COSTO UNITARIO SIN ITBIS]]</f>
        <v>713.71999999999991</v>
      </c>
    </row>
    <row r="452" spans="1:29" s="8" customFormat="1" x14ac:dyDescent="0.25">
      <c r="A452" s="261">
        <v>92</v>
      </c>
      <c r="B452" s="31">
        <v>44026</v>
      </c>
      <c r="C452" s="28" t="s">
        <v>11</v>
      </c>
      <c r="D452" s="31">
        <v>44026</v>
      </c>
      <c r="E452" s="137"/>
      <c r="F452" s="28">
        <v>1604</v>
      </c>
      <c r="G452" s="32" t="s">
        <v>304</v>
      </c>
      <c r="H452" s="63">
        <v>75</v>
      </c>
      <c r="I452" s="63"/>
      <c r="J452" s="63">
        <f>+'INVENTARIO ABRIL-JUNIO 2021'!$H452-'INVENTARIO ABRIL-JUNIO 2021'!$I452</f>
        <v>75</v>
      </c>
      <c r="K452" s="63"/>
      <c r="L452" s="63"/>
      <c r="M452" s="63"/>
      <c r="N452" s="63"/>
      <c r="O452" s="125"/>
      <c r="P452" s="63"/>
      <c r="Q452" s="63">
        <v>2</v>
      </c>
      <c r="R452" s="63">
        <f>3+7+3</f>
        <v>13</v>
      </c>
      <c r="S452" s="63">
        <f>2+1+2+8+2</f>
        <v>15</v>
      </c>
      <c r="T452" s="63">
        <f>1+1</f>
        <v>2</v>
      </c>
      <c r="U452" s="63">
        <f>+Tabla1[[#This Row],[STOCK    FISICO ENERO 2021]]-Tabla1[[#This Row],[REQUISICIONES FEBRERO 2021]]</f>
        <v>75</v>
      </c>
      <c r="V452" s="63">
        <f>+Tabla1[[#This Row],[STOCK  FEBRERO 2021]]-Tabla1[[#This Row],[REQUISICIONES MARZO 2021]]+Tabla1[[#This Row],[ENTRADAS MARZO 2021]]</f>
        <v>73</v>
      </c>
      <c r="W452" s="63">
        <f>+Tabla1[[#This Row],[STOCK MARZO 2021]]-Tabla1[[#This Row],[REQUISICIONES ABRIL 2021]]+Tabla1[[#This Row],[ENTRADAS ABRIL 2021]]</f>
        <v>60</v>
      </c>
      <c r="X452" s="63">
        <f>+Tabla1[[#This Row],[STOCK ABRIL 2021]]-Tabla1[[#This Row],[REQUISICIONES MAYO 2021]]+Tabla1[[#This Row],[ENTRADAS MAYO 2021]]</f>
        <v>45</v>
      </c>
      <c r="Y452" s="63">
        <f>+Tabla1[[#This Row],[STOCK MAYO 2021]]-Tabla1[[#This Row],[REQUISICIONES JUNIO 2021]]+Tabla1[[#This Row],[ENTRADAS JUNIO 2021]]</f>
        <v>43</v>
      </c>
      <c r="Z452" s="30" t="s">
        <v>12</v>
      </c>
      <c r="AA452" s="34">
        <v>1080</v>
      </c>
      <c r="AB452" s="35">
        <f t="shared" si="15"/>
        <v>1274.4000000000001</v>
      </c>
      <c r="AC452" s="93">
        <f>Tabla1[[#This Row],[STOCK JUNIO ]]*Tabla1[[#This Row],[COSTO UNITARIO SIN ITBIS]]</f>
        <v>46440</v>
      </c>
    </row>
    <row r="453" spans="1:29" s="8" customFormat="1" ht="14.25" customHeight="1" x14ac:dyDescent="0.25">
      <c r="A453" s="261">
        <v>93</v>
      </c>
      <c r="B453" s="31"/>
      <c r="C453" s="28" t="s">
        <v>11</v>
      </c>
      <c r="D453" s="31"/>
      <c r="E453" s="137"/>
      <c r="F453" s="28" t="s">
        <v>20</v>
      </c>
      <c r="G453" s="32" t="s">
        <v>305</v>
      </c>
      <c r="H453" s="63">
        <v>28</v>
      </c>
      <c r="I453" s="63"/>
      <c r="J453" s="63">
        <f>+'INVENTARIO ABRIL-JUNIO 2021'!$H453-'INVENTARIO ABRIL-JUNIO 2021'!$I453</f>
        <v>28</v>
      </c>
      <c r="K453" s="63"/>
      <c r="L453" s="63"/>
      <c r="M453" s="63"/>
      <c r="N453" s="63"/>
      <c r="O453" s="125"/>
      <c r="P453" s="63"/>
      <c r="Q453" s="63"/>
      <c r="R453" s="63"/>
      <c r="S453" s="63"/>
      <c r="T453" s="63"/>
      <c r="U453" s="63">
        <f>+Tabla1[[#This Row],[STOCK    FISICO ENERO 2021]]-Tabla1[[#This Row],[REQUISICIONES FEBRERO 2021]]</f>
        <v>28</v>
      </c>
      <c r="V453" s="63">
        <f>+Tabla1[[#This Row],[STOCK  FEBRERO 2021]]-Tabla1[[#This Row],[REQUISICIONES MARZO 2021]]+Tabla1[[#This Row],[ENTRADAS MARZO 2021]]</f>
        <v>28</v>
      </c>
      <c r="W453" s="63">
        <f>+Tabla1[[#This Row],[STOCK MARZO 2021]]-Tabla1[[#This Row],[REQUISICIONES ABRIL 2021]]+Tabla1[[#This Row],[ENTRADAS ABRIL 2021]]</f>
        <v>28</v>
      </c>
      <c r="X453" s="63">
        <f>+Tabla1[[#This Row],[STOCK ABRIL 2021]]-Tabla1[[#This Row],[REQUISICIONES MAYO 2021]]+Tabla1[[#This Row],[ENTRADAS MAYO 2021]]</f>
        <v>28</v>
      </c>
      <c r="Y453" s="63">
        <f>+Tabla1[[#This Row],[STOCK MAYO 2021]]-Tabla1[[#This Row],[REQUISICIONES JUNIO 2021]]+Tabla1[[#This Row],[ENTRADAS JUNIO 2021]]</f>
        <v>28</v>
      </c>
      <c r="Z453" s="30" t="s">
        <v>12</v>
      </c>
      <c r="AA453" s="34">
        <v>0</v>
      </c>
      <c r="AB453" s="35">
        <f t="shared" si="15"/>
        <v>0</v>
      </c>
      <c r="AC453" s="93">
        <f>Tabla1[[#This Row],[STOCK JUNIO ]]*Tabla1[[#This Row],[COSTO UNITARIO SIN ITBIS]]</f>
        <v>0</v>
      </c>
    </row>
    <row r="454" spans="1:29" s="8" customFormat="1" x14ac:dyDescent="0.25">
      <c r="A454" s="261">
        <v>94</v>
      </c>
      <c r="B454" s="31">
        <v>44026</v>
      </c>
      <c r="C454" s="28" t="s">
        <v>11</v>
      </c>
      <c r="D454" s="31">
        <v>44026</v>
      </c>
      <c r="E454" s="137"/>
      <c r="F454" s="28">
        <v>1644</v>
      </c>
      <c r="G454" s="32" t="s">
        <v>306</v>
      </c>
      <c r="H454" s="63">
        <v>0</v>
      </c>
      <c r="I454" s="63"/>
      <c r="J454" s="63">
        <f>+'INVENTARIO ABRIL-JUNIO 2021'!$H454-'INVENTARIO ABRIL-JUNIO 2021'!$I454</f>
        <v>0</v>
      </c>
      <c r="K454" s="63"/>
      <c r="L454" s="63"/>
      <c r="M454" s="63"/>
      <c r="N454" s="63"/>
      <c r="O454" s="125"/>
      <c r="P454" s="63"/>
      <c r="Q454" s="63"/>
      <c r="R454" s="63"/>
      <c r="S454" s="63"/>
      <c r="T454" s="63"/>
      <c r="U454" s="63">
        <f>+Tabla1[[#This Row],[STOCK    FISICO ENERO 2021]]-Tabla1[[#This Row],[REQUISICIONES FEBRERO 2021]]</f>
        <v>0</v>
      </c>
      <c r="V454" s="63">
        <f>+Tabla1[[#This Row],[STOCK  FEBRERO 2021]]-Tabla1[[#This Row],[REQUISICIONES MARZO 2021]]+Tabla1[[#This Row],[ENTRADAS MARZO 2021]]</f>
        <v>0</v>
      </c>
      <c r="W454" s="63">
        <f>+Tabla1[[#This Row],[STOCK MARZO 2021]]-Tabla1[[#This Row],[REQUISICIONES ABRIL 2021]]+Tabla1[[#This Row],[ENTRADAS ABRIL 2021]]</f>
        <v>0</v>
      </c>
      <c r="X454" s="63">
        <f>+Tabla1[[#This Row],[STOCK ABRIL 2021]]-Tabla1[[#This Row],[REQUISICIONES MAYO 2021]]+Tabla1[[#This Row],[ENTRADAS MAYO 2021]]</f>
        <v>0</v>
      </c>
      <c r="Y454" s="63">
        <f>+Tabla1[[#This Row],[STOCK MAYO 2021]]-Tabla1[[#This Row],[REQUISICIONES JUNIO 2021]]+Tabla1[[#This Row],[ENTRADAS JUNIO 2021]]</f>
        <v>0</v>
      </c>
      <c r="Z454" s="30" t="s">
        <v>105</v>
      </c>
      <c r="AA454" s="34">
        <v>4638</v>
      </c>
      <c r="AB454" s="35">
        <f t="shared" si="15"/>
        <v>5472.84</v>
      </c>
      <c r="AC454" s="93">
        <f>Tabla1[[#This Row],[STOCK JUNIO ]]*Tabla1[[#This Row],[COSTO UNITARIO SIN ITBIS]]</f>
        <v>0</v>
      </c>
    </row>
    <row r="455" spans="1:29" s="11" customFormat="1" ht="15.75" thickBot="1" x14ac:dyDescent="0.3">
      <c r="A455" s="57"/>
      <c r="B455" s="56"/>
      <c r="C455" s="56"/>
      <c r="D455" s="56"/>
      <c r="E455" s="141"/>
      <c r="F455" s="56"/>
      <c r="G455" s="56"/>
      <c r="H455" s="57"/>
      <c r="I455" s="57"/>
      <c r="J455" s="57">
        <f>+'INVENTARIO ABRIL-JUNIO 2021'!$H455-'INVENTARIO ABRIL-JUNIO 2021'!$I455</f>
        <v>0</v>
      </c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6"/>
      <c r="AA455" s="58"/>
      <c r="AB455" s="58" t="s">
        <v>711</v>
      </c>
      <c r="AC455" s="95">
        <f>+SUM(AC361:AC454)</f>
        <v>370429.03149217385</v>
      </c>
    </row>
    <row r="456" spans="1:29" s="8" customFormat="1" ht="15.75" thickTop="1" x14ac:dyDescent="0.25">
      <c r="A456" s="262" t="s">
        <v>307</v>
      </c>
      <c r="B456" s="61"/>
      <c r="C456" s="61"/>
      <c r="D456" s="61"/>
      <c r="E456" s="96"/>
      <c r="F456" s="61"/>
      <c r="G456" s="61"/>
      <c r="H456" s="61"/>
      <c r="I456" s="61"/>
      <c r="J456" s="61"/>
      <c r="K456" s="61"/>
      <c r="L456" s="61"/>
      <c r="M456" s="61"/>
      <c r="N456" s="61"/>
      <c r="O456" s="262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96"/>
    </row>
    <row r="457" spans="1:29" s="8" customFormat="1" x14ac:dyDescent="0.25">
      <c r="A457" s="265">
        <v>1</v>
      </c>
      <c r="B457" s="74">
        <v>44168</v>
      </c>
      <c r="C457" s="28" t="s">
        <v>11</v>
      </c>
      <c r="D457" s="74">
        <v>44151</v>
      </c>
      <c r="E457" s="145"/>
      <c r="F457" s="28">
        <v>1004</v>
      </c>
      <c r="G457" s="32" t="s">
        <v>308</v>
      </c>
      <c r="H457" s="63">
        <v>15</v>
      </c>
      <c r="I457" s="63"/>
      <c r="J457" s="63">
        <f>+'INVENTARIO ABRIL-JUNIO 2021'!$H457-'INVENTARIO ABRIL-JUNIO 2021'!$I457</f>
        <v>15</v>
      </c>
      <c r="K457" s="63"/>
      <c r="L457" s="63"/>
      <c r="M457" s="63"/>
      <c r="N457" s="63"/>
      <c r="O457" s="125"/>
      <c r="P457" s="63"/>
      <c r="Q457" s="63"/>
      <c r="R457" s="63"/>
      <c r="S457" s="63"/>
      <c r="T457" s="63"/>
      <c r="U457" s="63">
        <f>+Tabla1[[#This Row],[STOCK    FISICO ENERO 2021]]-Tabla1[[#This Row],[REQUISICIONES FEBRERO 2021]]</f>
        <v>15</v>
      </c>
      <c r="V457" s="63">
        <f>+Tabla1[[#This Row],[STOCK  FEBRERO 2021]]-Tabla1[[#This Row],[REQUISICIONES MARZO 2021]]+Tabla1[[#This Row],[ENTRADAS MARZO 2021]]</f>
        <v>15</v>
      </c>
      <c r="W457" s="63">
        <f>+Tabla1[[#This Row],[STOCK MARZO 2021]]-Tabla1[[#This Row],[REQUISICIONES ABRIL 2021]]+Tabla1[[#This Row],[ENTRADAS ABRIL 2021]]</f>
        <v>15</v>
      </c>
      <c r="X457" s="63">
        <f>+Tabla1[[#This Row],[STOCK ABRIL 2021]]-Tabla1[[#This Row],[REQUISICIONES MAYO 2021]]+Tabla1[[#This Row],[ENTRADAS MAYO 2021]]</f>
        <v>15</v>
      </c>
      <c r="Y457" s="63">
        <f>+Tabla1[[#This Row],[STOCK MAYO 2021]]-Tabla1[[#This Row],[REQUISICIONES JUNIO 2021]]+Tabla1[[#This Row],[ENTRADAS JUNIO 2021]]</f>
        <v>15</v>
      </c>
      <c r="Z457" s="30" t="s">
        <v>12</v>
      </c>
      <c r="AA457" s="34">
        <v>9.25</v>
      </c>
      <c r="AB457" s="35">
        <f t="shared" ref="AB457:AB488" si="16">AA457*0.18+AA457</f>
        <v>10.914999999999999</v>
      </c>
      <c r="AC457" s="93">
        <f>Tabla1[[#This Row],[STOCK JUNIO ]]*Tabla1[[#This Row],[COSTO UNITARIO SIN ITBIS]]</f>
        <v>138.75</v>
      </c>
    </row>
    <row r="458" spans="1:29" s="10" customFormat="1" x14ac:dyDescent="0.25">
      <c r="A458" s="265">
        <v>2</v>
      </c>
      <c r="B458" s="74">
        <v>44168</v>
      </c>
      <c r="C458" s="28" t="s">
        <v>11</v>
      </c>
      <c r="D458" s="74">
        <v>44153</v>
      </c>
      <c r="E458" s="145"/>
      <c r="F458" s="28" t="s">
        <v>20</v>
      </c>
      <c r="G458" s="32" t="s">
        <v>309</v>
      </c>
      <c r="H458" s="63">
        <v>4</v>
      </c>
      <c r="I458" s="63"/>
      <c r="J458" s="63">
        <f>+'INVENTARIO ABRIL-JUNIO 2021'!$H458-'INVENTARIO ABRIL-JUNIO 2021'!$I458</f>
        <v>4</v>
      </c>
      <c r="K458" s="63"/>
      <c r="L458" s="63"/>
      <c r="M458" s="63"/>
      <c r="N458" s="63"/>
      <c r="O458" s="125"/>
      <c r="P458" s="63"/>
      <c r="Q458" s="63"/>
      <c r="R458" s="63"/>
      <c r="S458" s="63"/>
      <c r="T458" s="63"/>
      <c r="U458" s="63">
        <f>+Tabla1[[#This Row],[STOCK    FISICO ENERO 2021]]-Tabla1[[#This Row],[REQUISICIONES FEBRERO 2021]]</f>
        <v>4</v>
      </c>
      <c r="V458" s="63">
        <f>+Tabla1[[#This Row],[STOCK  FEBRERO 2021]]-Tabla1[[#This Row],[REQUISICIONES MARZO 2021]]+Tabla1[[#This Row],[ENTRADAS MARZO 2021]]</f>
        <v>4</v>
      </c>
      <c r="W458" s="63">
        <f>+Tabla1[[#This Row],[STOCK MARZO 2021]]-Tabla1[[#This Row],[REQUISICIONES ABRIL 2021]]+Tabla1[[#This Row],[ENTRADAS ABRIL 2021]]</f>
        <v>4</v>
      </c>
      <c r="X458" s="63">
        <f>+Tabla1[[#This Row],[STOCK ABRIL 2021]]-Tabla1[[#This Row],[REQUISICIONES MAYO 2021]]+Tabla1[[#This Row],[ENTRADAS MAYO 2021]]</f>
        <v>4</v>
      </c>
      <c r="Y458" s="63">
        <f>+Tabla1[[#This Row],[STOCK MAYO 2021]]-Tabla1[[#This Row],[REQUISICIONES JUNIO 2021]]+Tabla1[[#This Row],[ENTRADAS JUNIO 2021]]</f>
        <v>4</v>
      </c>
      <c r="Z458" s="30" t="s">
        <v>12</v>
      </c>
      <c r="AA458" s="34">
        <v>0</v>
      </c>
      <c r="AB458" s="35">
        <f t="shared" si="16"/>
        <v>0</v>
      </c>
      <c r="AC458" s="93">
        <f>Tabla1[[#This Row],[STOCK JUNIO ]]*Tabla1[[#This Row],[COSTO UNITARIO SIN ITBIS]]</f>
        <v>0</v>
      </c>
    </row>
    <row r="459" spans="1:29" s="8" customFormat="1" x14ac:dyDescent="0.25">
      <c r="A459" s="265">
        <v>3</v>
      </c>
      <c r="B459" s="74">
        <v>44168</v>
      </c>
      <c r="C459" s="28" t="s">
        <v>11</v>
      </c>
      <c r="D459" s="74">
        <v>44153</v>
      </c>
      <c r="E459" s="145"/>
      <c r="F459" s="28">
        <v>1007</v>
      </c>
      <c r="G459" s="32" t="s">
        <v>310</v>
      </c>
      <c r="H459" s="63">
        <v>2</v>
      </c>
      <c r="I459" s="63"/>
      <c r="J459" s="63">
        <f>+'INVENTARIO ABRIL-JUNIO 2021'!$H459-'INVENTARIO ABRIL-JUNIO 2021'!$I459</f>
        <v>2</v>
      </c>
      <c r="K459" s="63"/>
      <c r="L459" s="63"/>
      <c r="M459" s="63"/>
      <c r="N459" s="63"/>
      <c r="O459" s="125"/>
      <c r="P459" s="63"/>
      <c r="Q459" s="63"/>
      <c r="R459" s="63"/>
      <c r="S459" s="63"/>
      <c r="T459" s="63"/>
      <c r="U459" s="63">
        <f>+Tabla1[[#This Row],[STOCK    FISICO ENERO 2021]]-Tabla1[[#This Row],[REQUISICIONES FEBRERO 2021]]</f>
        <v>2</v>
      </c>
      <c r="V459" s="63">
        <f>+Tabla1[[#This Row],[STOCK  FEBRERO 2021]]-Tabla1[[#This Row],[REQUISICIONES MARZO 2021]]+Tabla1[[#This Row],[ENTRADAS MARZO 2021]]</f>
        <v>2</v>
      </c>
      <c r="W459" s="63">
        <f>+Tabla1[[#This Row],[STOCK MARZO 2021]]-Tabla1[[#This Row],[REQUISICIONES ABRIL 2021]]+Tabla1[[#This Row],[ENTRADAS ABRIL 2021]]</f>
        <v>2</v>
      </c>
      <c r="X459" s="63">
        <f>+Tabla1[[#This Row],[STOCK ABRIL 2021]]-Tabla1[[#This Row],[REQUISICIONES MAYO 2021]]+Tabla1[[#This Row],[ENTRADAS MAYO 2021]]</f>
        <v>2</v>
      </c>
      <c r="Y459" s="63">
        <f>+Tabla1[[#This Row],[STOCK MAYO 2021]]-Tabla1[[#This Row],[REQUISICIONES JUNIO 2021]]+Tabla1[[#This Row],[ENTRADAS JUNIO 2021]]</f>
        <v>2</v>
      </c>
      <c r="Z459" s="30" t="s">
        <v>12</v>
      </c>
      <c r="AA459" s="34">
        <v>26.22</v>
      </c>
      <c r="AB459" s="35">
        <f t="shared" si="16"/>
        <v>30.939599999999999</v>
      </c>
      <c r="AC459" s="93">
        <f>Tabla1[[#This Row],[STOCK JUNIO ]]*Tabla1[[#This Row],[COSTO UNITARIO SIN ITBIS]]</f>
        <v>52.44</v>
      </c>
    </row>
    <row r="460" spans="1:29" s="8" customFormat="1" ht="15.75" customHeight="1" x14ac:dyDescent="0.25">
      <c r="A460" s="265">
        <v>4</v>
      </c>
      <c r="B460" s="74">
        <v>44168</v>
      </c>
      <c r="C460" s="28" t="s">
        <v>11</v>
      </c>
      <c r="D460" s="74">
        <v>44154</v>
      </c>
      <c r="E460" s="145"/>
      <c r="F460" s="13">
        <v>1653</v>
      </c>
      <c r="G460" s="75" t="s">
        <v>311</v>
      </c>
      <c r="H460" s="72">
        <v>40</v>
      </c>
      <c r="I460" s="72"/>
      <c r="J460" s="72">
        <f>+'INVENTARIO ABRIL-JUNIO 2021'!$H460-'INVENTARIO ABRIL-JUNIO 2021'!$I460</f>
        <v>40</v>
      </c>
      <c r="K460" s="72"/>
      <c r="L460" s="72"/>
      <c r="M460" s="72"/>
      <c r="N460" s="72"/>
      <c r="O460" s="296"/>
      <c r="P460" s="72"/>
      <c r="Q460" s="72"/>
      <c r="R460" s="72">
        <v>1</v>
      </c>
      <c r="S460" s="72"/>
      <c r="T460" s="72">
        <v>2</v>
      </c>
      <c r="U460" s="72">
        <f>+Tabla1[[#This Row],[STOCK    FISICO ENERO 2021]]-Tabla1[[#This Row],[REQUISICIONES FEBRERO 2021]]</f>
        <v>40</v>
      </c>
      <c r="V460" s="72">
        <f>+Tabla1[[#This Row],[STOCK  FEBRERO 2021]]-Tabla1[[#This Row],[REQUISICIONES MARZO 2021]]+Tabla1[[#This Row],[ENTRADAS MARZO 2021]]</f>
        <v>40</v>
      </c>
      <c r="W460" s="72">
        <f>+Tabla1[[#This Row],[STOCK MARZO 2021]]-Tabla1[[#This Row],[REQUISICIONES ABRIL 2021]]+Tabla1[[#This Row],[ENTRADAS ABRIL 2021]]</f>
        <v>39</v>
      </c>
      <c r="X460" s="72">
        <f>+Tabla1[[#This Row],[STOCK ABRIL 2021]]-Tabla1[[#This Row],[REQUISICIONES MAYO 2021]]+Tabla1[[#This Row],[ENTRADAS MAYO 2021]]</f>
        <v>39</v>
      </c>
      <c r="Y460" s="72">
        <f>+Tabla1[[#This Row],[STOCK MAYO 2021]]-Tabla1[[#This Row],[REQUISICIONES JUNIO 2021]]+Tabla1[[#This Row],[ENTRADAS JUNIO 2021]]</f>
        <v>37</v>
      </c>
      <c r="Z460" s="73" t="s">
        <v>12</v>
      </c>
      <c r="AA460" s="76">
        <v>13.22</v>
      </c>
      <c r="AB460" s="35">
        <f t="shared" si="16"/>
        <v>15.599600000000001</v>
      </c>
      <c r="AC460" s="93">
        <f>Tabla1[[#This Row],[STOCK JUNIO ]]*Tabla1[[#This Row],[COSTO UNITARIO SIN ITBIS]]</f>
        <v>489.14000000000004</v>
      </c>
    </row>
    <row r="461" spans="1:29" s="8" customFormat="1" ht="15.75" customHeight="1" x14ac:dyDescent="0.25">
      <c r="A461" s="265">
        <v>5</v>
      </c>
      <c r="B461" s="74">
        <v>44168</v>
      </c>
      <c r="C461" s="28" t="s">
        <v>11</v>
      </c>
      <c r="D461" s="74">
        <v>44154</v>
      </c>
      <c r="E461" s="145"/>
      <c r="F461" s="13">
        <v>1651</v>
      </c>
      <c r="G461" s="75" t="s">
        <v>312</v>
      </c>
      <c r="H461" s="72">
        <v>53</v>
      </c>
      <c r="I461" s="72"/>
      <c r="J461" s="72">
        <f>+'INVENTARIO ABRIL-JUNIO 2021'!$H461-'INVENTARIO ABRIL-JUNIO 2021'!$I461</f>
        <v>53</v>
      </c>
      <c r="K461" s="72"/>
      <c r="L461" s="72"/>
      <c r="M461" s="72"/>
      <c r="N461" s="72"/>
      <c r="O461" s="296"/>
      <c r="P461" s="72"/>
      <c r="Q461" s="72">
        <v>1</v>
      </c>
      <c r="R461" s="72"/>
      <c r="S461" s="72"/>
      <c r="T461" s="72"/>
      <c r="U461" s="72">
        <f>+Tabla1[[#This Row],[STOCK    FISICO ENERO 2021]]-Tabla1[[#This Row],[REQUISICIONES FEBRERO 2021]]</f>
        <v>53</v>
      </c>
      <c r="V461" s="72">
        <f>+Tabla1[[#This Row],[STOCK  FEBRERO 2021]]-Tabla1[[#This Row],[REQUISICIONES MARZO 2021]]+Tabla1[[#This Row],[ENTRADAS MARZO 2021]]</f>
        <v>52</v>
      </c>
      <c r="W461" s="72">
        <f>+Tabla1[[#This Row],[STOCK MARZO 2021]]-Tabla1[[#This Row],[REQUISICIONES ABRIL 2021]]+Tabla1[[#This Row],[ENTRADAS ABRIL 2021]]</f>
        <v>52</v>
      </c>
      <c r="X461" s="72">
        <f>+Tabla1[[#This Row],[STOCK ABRIL 2021]]-Tabla1[[#This Row],[REQUISICIONES MAYO 2021]]+Tabla1[[#This Row],[ENTRADAS MAYO 2021]]</f>
        <v>52</v>
      </c>
      <c r="Y461" s="72">
        <f>+Tabla1[[#This Row],[STOCK MAYO 2021]]-Tabla1[[#This Row],[REQUISICIONES JUNIO 2021]]+Tabla1[[#This Row],[ENTRADAS JUNIO 2021]]</f>
        <v>52</v>
      </c>
      <c r="Z461" s="73" t="s">
        <v>105</v>
      </c>
      <c r="AA461" s="76">
        <v>5.48</v>
      </c>
      <c r="AB461" s="35">
        <f t="shared" si="16"/>
        <v>6.4664000000000001</v>
      </c>
      <c r="AC461" s="93">
        <f>Tabla1[[#This Row],[STOCK JUNIO ]]*Tabla1[[#This Row],[COSTO UNITARIO SIN ITBIS]]</f>
        <v>284.96000000000004</v>
      </c>
    </row>
    <row r="462" spans="1:29" s="8" customFormat="1" ht="15.75" customHeight="1" x14ac:dyDescent="0.25">
      <c r="A462" s="265">
        <v>6</v>
      </c>
      <c r="B462" s="74">
        <v>44168</v>
      </c>
      <c r="C462" s="28" t="s">
        <v>11</v>
      </c>
      <c r="D462" s="74">
        <v>44154</v>
      </c>
      <c r="E462" s="145"/>
      <c r="F462" s="28">
        <v>1652</v>
      </c>
      <c r="G462" s="32" t="s">
        <v>313</v>
      </c>
      <c r="H462" s="63">
        <f>51+1</f>
        <v>52</v>
      </c>
      <c r="I462" s="63"/>
      <c r="J462" s="63">
        <f>+'INVENTARIO ABRIL-JUNIO 2021'!$H462-'INVENTARIO ABRIL-JUNIO 2021'!$I462</f>
        <v>52</v>
      </c>
      <c r="K462" s="63"/>
      <c r="L462" s="63"/>
      <c r="M462" s="63"/>
      <c r="N462" s="63"/>
      <c r="O462" s="125"/>
      <c r="P462" s="63"/>
      <c r="Q462" s="63"/>
      <c r="R462" s="63"/>
      <c r="S462" s="63"/>
      <c r="T462" s="63">
        <v>2</v>
      </c>
      <c r="U462" s="63">
        <f>+Tabla1[[#This Row],[STOCK    FISICO ENERO 2021]]-Tabla1[[#This Row],[REQUISICIONES FEBRERO 2021]]</f>
        <v>52</v>
      </c>
      <c r="V462" s="63">
        <f>+Tabla1[[#This Row],[STOCK  FEBRERO 2021]]-Tabla1[[#This Row],[REQUISICIONES MARZO 2021]]+Tabla1[[#This Row],[ENTRADAS MARZO 2021]]</f>
        <v>52</v>
      </c>
      <c r="W462" s="63">
        <f>+Tabla1[[#This Row],[STOCK MARZO 2021]]-Tabla1[[#This Row],[REQUISICIONES ABRIL 2021]]+Tabla1[[#This Row],[ENTRADAS ABRIL 2021]]</f>
        <v>52</v>
      </c>
      <c r="X462" s="63">
        <f>+Tabla1[[#This Row],[STOCK ABRIL 2021]]-Tabla1[[#This Row],[REQUISICIONES MAYO 2021]]+Tabla1[[#This Row],[ENTRADAS MAYO 2021]]</f>
        <v>52</v>
      </c>
      <c r="Y462" s="63">
        <f>+Tabla1[[#This Row],[STOCK MAYO 2021]]-Tabla1[[#This Row],[REQUISICIONES JUNIO 2021]]+Tabla1[[#This Row],[ENTRADAS JUNIO 2021]]</f>
        <v>50</v>
      </c>
      <c r="Z462" s="30" t="s">
        <v>12</v>
      </c>
      <c r="AA462" s="34">
        <v>4.9000000000000004</v>
      </c>
      <c r="AB462" s="35">
        <f t="shared" si="16"/>
        <v>5.782</v>
      </c>
      <c r="AC462" s="93">
        <f>Tabla1[[#This Row],[STOCK JUNIO ]]*Tabla1[[#This Row],[COSTO UNITARIO SIN ITBIS]]</f>
        <v>245.00000000000003</v>
      </c>
    </row>
    <row r="463" spans="1:29" s="8" customFormat="1" ht="15.75" customHeight="1" x14ac:dyDescent="0.25">
      <c r="A463" s="265">
        <v>7</v>
      </c>
      <c r="B463" s="74">
        <v>44168</v>
      </c>
      <c r="C463" s="28" t="s">
        <v>11</v>
      </c>
      <c r="D463" s="74">
        <v>44154</v>
      </c>
      <c r="E463" s="145"/>
      <c r="F463" s="13"/>
      <c r="G463" s="75" t="s">
        <v>314</v>
      </c>
      <c r="H463" s="72">
        <v>2</v>
      </c>
      <c r="I463" s="72"/>
      <c r="J463" s="72">
        <f>+'INVENTARIO ABRIL-JUNIO 2021'!$H463-'INVENTARIO ABRIL-JUNIO 2021'!$I463</f>
        <v>2</v>
      </c>
      <c r="K463" s="72"/>
      <c r="L463" s="72"/>
      <c r="M463" s="72"/>
      <c r="N463" s="72"/>
      <c r="O463" s="296"/>
      <c r="P463" s="72"/>
      <c r="Q463" s="72"/>
      <c r="R463" s="72"/>
      <c r="S463" s="72"/>
      <c r="T463" s="72"/>
      <c r="U463" s="72">
        <f>+Tabla1[[#This Row],[STOCK    FISICO ENERO 2021]]-Tabla1[[#This Row],[REQUISICIONES FEBRERO 2021]]</f>
        <v>2</v>
      </c>
      <c r="V463" s="72">
        <f>+Tabla1[[#This Row],[STOCK  FEBRERO 2021]]-Tabla1[[#This Row],[REQUISICIONES MARZO 2021]]+Tabla1[[#This Row],[ENTRADAS MARZO 2021]]</f>
        <v>2</v>
      </c>
      <c r="W463" s="72">
        <f>+Tabla1[[#This Row],[STOCK MARZO 2021]]-Tabla1[[#This Row],[REQUISICIONES ABRIL 2021]]+Tabla1[[#This Row],[ENTRADAS ABRIL 2021]]</f>
        <v>2</v>
      </c>
      <c r="X463" s="72">
        <f>+Tabla1[[#This Row],[STOCK ABRIL 2021]]-Tabla1[[#This Row],[REQUISICIONES MAYO 2021]]+Tabla1[[#This Row],[ENTRADAS MAYO 2021]]</f>
        <v>2</v>
      </c>
      <c r="Y463" s="72">
        <f>+Tabla1[[#This Row],[STOCK MAYO 2021]]-Tabla1[[#This Row],[REQUISICIONES JUNIO 2021]]+Tabla1[[#This Row],[ENTRADAS JUNIO 2021]]</f>
        <v>2</v>
      </c>
      <c r="Z463" s="30" t="s">
        <v>12</v>
      </c>
      <c r="AA463" s="76">
        <v>236</v>
      </c>
      <c r="AB463" s="35">
        <f t="shared" si="16"/>
        <v>278.48</v>
      </c>
      <c r="AC463" s="93">
        <f>Tabla1[[#This Row],[STOCK JUNIO ]]*Tabla1[[#This Row],[COSTO UNITARIO SIN ITBIS]]</f>
        <v>472</v>
      </c>
    </row>
    <row r="464" spans="1:29" s="8" customFormat="1" ht="15.75" customHeight="1" x14ac:dyDescent="0.25">
      <c r="A464" s="265">
        <v>8</v>
      </c>
      <c r="B464" s="74">
        <v>44168</v>
      </c>
      <c r="C464" s="28" t="s">
        <v>11</v>
      </c>
      <c r="D464" s="74">
        <v>44155</v>
      </c>
      <c r="E464" s="145"/>
      <c r="F464" s="13">
        <v>1012</v>
      </c>
      <c r="G464" s="75" t="s">
        <v>315</v>
      </c>
      <c r="H464" s="72"/>
      <c r="I464" s="72"/>
      <c r="J464" s="72">
        <f>+'INVENTARIO ABRIL-JUNIO 2021'!$H464-'INVENTARIO ABRIL-JUNIO 2021'!$I464</f>
        <v>0</v>
      </c>
      <c r="K464" s="72"/>
      <c r="L464" s="72"/>
      <c r="M464" s="72"/>
      <c r="N464" s="72"/>
      <c r="O464" s="296"/>
      <c r="P464" s="72"/>
      <c r="Q464" s="72"/>
      <c r="R464" s="72"/>
      <c r="S464" s="72"/>
      <c r="T464" s="72"/>
      <c r="U464" s="72">
        <f>+Tabla1[[#This Row],[STOCK    FISICO ENERO 2021]]-Tabla1[[#This Row],[REQUISICIONES FEBRERO 2021]]</f>
        <v>0</v>
      </c>
      <c r="V464" s="72">
        <f>+Tabla1[[#This Row],[STOCK  FEBRERO 2021]]-Tabla1[[#This Row],[REQUISICIONES MARZO 2021]]+Tabla1[[#This Row],[ENTRADAS MARZO 2021]]</f>
        <v>0</v>
      </c>
      <c r="W464" s="72">
        <f>+Tabla1[[#This Row],[STOCK MARZO 2021]]-Tabla1[[#This Row],[REQUISICIONES ABRIL 2021]]+Tabla1[[#This Row],[ENTRADAS ABRIL 2021]]</f>
        <v>0</v>
      </c>
      <c r="X464" s="72">
        <f>+Tabla1[[#This Row],[STOCK ABRIL 2021]]-Tabla1[[#This Row],[REQUISICIONES MAYO 2021]]+Tabla1[[#This Row],[ENTRADAS MAYO 2021]]</f>
        <v>0</v>
      </c>
      <c r="Y464" s="72">
        <f>+Tabla1[[#This Row],[STOCK MAYO 2021]]-Tabla1[[#This Row],[REQUISICIONES JUNIO 2021]]+Tabla1[[#This Row],[ENTRADAS JUNIO 2021]]</f>
        <v>0</v>
      </c>
      <c r="Z464" s="73" t="s">
        <v>12</v>
      </c>
      <c r="AA464" s="76">
        <v>8</v>
      </c>
      <c r="AB464" s="35">
        <f t="shared" si="16"/>
        <v>9.44</v>
      </c>
      <c r="AC464" s="93">
        <f>Tabla1[[#This Row],[STOCK JUNIO ]]*Tabla1[[#This Row],[COSTO UNITARIO SIN ITBIS]]</f>
        <v>0</v>
      </c>
    </row>
    <row r="465" spans="1:29" s="8" customFormat="1" ht="15.75" customHeight="1" x14ac:dyDescent="0.25">
      <c r="A465" s="265">
        <v>9</v>
      </c>
      <c r="B465" s="74">
        <v>44168</v>
      </c>
      <c r="C465" s="28" t="s">
        <v>11</v>
      </c>
      <c r="D465" s="74">
        <v>44155</v>
      </c>
      <c r="E465" s="145"/>
      <c r="F465" s="13">
        <v>1010</v>
      </c>
      <c r="G465" s="75" t="s">
        <v>316</v>
      </c>
      <c r="H465" s="72">
        <v>6</v>
      </c>
      <c r="I465" s="72"/>
      <c r="J465" s="72">
        <f>+'INVENTARIO ABRIL-JUNIO 2021'!$H465-'INVENTARIO ABRIL-JUNIO 2021'!$I465</f>
        <v>6</v>
      </c>
      <c r="K465" s="72"/>
      <c r="L465" s="72"/>
      <c r="M465" s="72"/>
      <c r="N465" s="72"/>
      <c r="O465" s="296"/>
      <c r="P465" s="72"/>
      <c r="Q465" s="72"/>
      <c r="R465" s="72"/>
      <c r="S465" s="72"/>
      <c r="T465" s="72"/>
      <c r="U465" s="72">
        <f>+Tabla1[[#This Row],[STOCK    FISICO ENERO 2021]]-Tabla1[[#This Row],[REQUISICIONES FEBRERO 2021]]</f>
        <v>6</v>
      </c>
      <c r="V465" s="72">
        <f>+Tabla1[[#This Row],[STOCK  FEBRERO 2021]]-Tabla1[[#This Row],[REQUISICIONES MARZO 2021]]+Tabla1[[#This Row],[ENTRADAS MARZO 2021]]</f>
        <v>6</v>
      </c>
      <c r="W465" s="72">
        <f>+Tabla1[[#This Row],[STOCK MARZO 2021]]-Tabla1[[#This Row],[REQUISICIONES ABRIL 2021]]+Tabla1[[#This Row],[ENTRADAS ABRIL 2021]]</f>
        <v>6</v>
      </c>
      <c r="X465" s="72">
        <f>+Tabla1[[#This Row],[STOCK ABRIL 2021]]-Tabla1[[#This Row],[REQUISICIONES MAYO 2021]]+Tabla1[[#This Row],[ENTRADAS MAYO 2021]]</f>
        <v>6</v>
      </c>
      <c r="Y465" s="72">
        <f>+Tabla1[[#This Row],[STOCK MAYO 2021]]-Tabla1[[#This Row],[REQUISICIONES JUNIO 2021]]+Tabla1[[#This Row],[ENTRADAS JUNIO 2021]]</f>
        <v>6</v>
      </c>
      <c r="Z465" s="73" t="s">
        <v>12</v>
      </c>
      <c r="AA465" s="76">
        <v>8</v>
      </c>
      <c r="AB465" s="35">
        <f t="shared" si="16"/>
        <v>9.44</v>
      </c>
      <c r="AC465" s="93">
        <f>Tabla1[[#This Row],[STOCK JUNIO ]]*Tabla1[[#This Row],[COSTO UNITARIO SIN ITBIS]]</f>
        <v>48</v>
      </c>
    </row>
    <row r="466" spans="1:29" s="8" customFormat="1" ht="15.75" customHeight="1" x14ac:dyDescent="0.25">
      <c r="A466" s="265">
        <v>10</v>
      </c>
      <c r="B466" s="74">
        <v>44167</v>
      </c>
      <c r="C466" s="28" t="s">
        <v>11</v>
      </c>
      <c r="D466" s="74">
        <v>44161</v>
      </c>
      <c r="E466" s="145"/>
      <c r="F466" s="28">
        <v>1290</v>
      </c>
      <c r="G466" s="32" t="s">
        <v>317</v>
      </c>
      <c r="H466" s="63"/>
      <c r="I466" s="63"/>
      <c r="J466" s="63">
        <f>+'INVENTARIO ABRIL-JUNIO 2021'!$H466-'INVENTARIO ABRIL-JUNIO 2021'!$I466</f>
        <v>0</v>
      </c>
      <c r="K466" s="63"/>
      <c r="L466" s="63"/>
      <c r="M466" s="63"/>
      <c r="N466" s="63"/>
      <c r="O466" s="125"/>
      <c r="P466" s="63"/>
      <c r="Q466" s="63"/>
      <c r="R466" s="63"/>
      <c r="S466" s="63"/>
      <c r="T466" s="63"/>
      <c r="U466" s="63">
        <f>+Tabla1[[#This Row],[STOCK    FISICO ENERO 2021]]-Tabla1[[#This Row],[REQUISICIONES FEBRERO 2021]]</f>
        <v>0</v>
      </c>
      <c r="V466" s="63">
        <f>+Tabla1[[#This Row],[STOCK  FEBRERO 2021]]-Tabla1[[#This Row],[REQUISICIONES MARZO 2021]]+Tabla1[[#This Row],[ENTRADAS MARZO 2021]]</f>
        <v>0</v>
      </c>
      <c r="W466" s="63">
        <f>+Tabla1[[#This Row],[STOCK MARZO 2021]]-Tabla1[[#This Row],[REQUISICIONES ABRIL 2021]]+Tabla1[[#This Row],[ENTRADAS ABRIL 2021]]</f>
        <v>0</v>
      </c>
      <c r="X466" s="63">
        <f>+Tabla1[[#This Row],[STOCK ABRIL 2021]]-Tabla1[[#This Row],[REQUISICIONES MAYO 2021]]+Tabla1[[#This Row],[ENTRADAS MAYO 2021]]</f>
        <v>0</v>
      </c>
      <c r="Y466" s="63">
        <f>+Tabla1[[#This Row],[STOCK MAYO 2021]]-Tabla1[[#This Row],[REQUISICIONES JUNIO 2021]]+Tabla1[[#This Row],[ENTRADAS JUNIO 2021]]</f>
        <v>0</v>
      </c>
      <c r="Z466" s="30" t="s">
        <v>12</v>
      </c>
      <c r="AA466" s="34">
        <v>0</v>
      </c>
      <c r="AB466" s="35">
        <f t="shared" si="16"/>
        <v>0</v>
      </c>
      <c r="AC466" s="93">
        <f>Tabla1[[#This Row],[STOCK JUNIO ]]*Tabla1[[#This Row],[COSTO UNITARIO SIN ITBIS]]</f>
        <v>0</v>
      </c>
    </row>
    <row r="467" spans="1:29" s="8" customFormat="1" ht="15.75" customHeight="1" x14ac:dyDescent="0.25">
      <c r="A467" s="265">
        <v>11</v>
      </c>
      <c r="B467" s="31">
        <v>44168</v>
      </c>
      <c r="C467" s="28" t="s">
        <v>11</v>
      </c>
      <c r="D467" s="31">
        <v>44152</v>
      </c>
      <c r="E467" s="137"/>
      <c r="F467" s="28">
        <v>1649</v>
      </c>
      <c r="G467" s="32" t="s">
        <v>318</v>
      </c>
      <c r="H467" s="63">
        <v>40</v>
      </c>
      <c r="I467" s="63"/>
      <c r="J467" s="63">
        <f>+'INVENTARIO ABRIL-JUNIO 2021'!$H467-'INVENTARIO ABRIL-JUNIO 2021'!$I467</f>
        <v>40</v>
      </c>
      <c r="K467" s="63"/>
      <c r="L467" s="63"/>
      <c r="M467" s="63"/>
      <c r="N467" s="63"/>
      <c r="O467" s="125"/>
      <c r="P467" s="63"/>
      <c r="Q467" s="63"/>
      <c r="R467" s="63"/>
      <c r="S467" s="63">
        <v>2</v>
      </c>
      <c r="T467" s="63">
        <f>1+2</f>
        <v>3</v>
      </c>
      <c r="U467" s="63">
        <f>+Tabla1[[#This Row],[STOCK    FISICO ENERO 2021]]-Tabla1[[#This Row],[REQUISICIONES FEBRERO 2021]]</f>
        <v>40</v>
      </c>
      <c r="V467" s="63">
        <f>+Tabla1[[#This Row],[STOCK  FEBRERO 2021]]-Tabla1[[#This Row],[REQUISICIONES MARZO 2021]]+Tabla1[[#This Row],[ENTRADAS MARZO 2021]]</f>
        <v>40</v>
      </c>
      <c r="W467" s="63">
        <f>+Tabla1[[#This Row],[STOCK MARZO 2021]]-Tabla1[[#This Row],[REQUISICIONES ABRIL 2021]]+Tabla1[[#This Row],[ENTRADAS ABRIL 2021]]</f>
        <v>40</v>
      </c>
      <c r="X467" s="63">
        <f>+Tabla1[[#This Row],[STOCK ABRIL 2021]]-Tabla1[[#This Row],[REQUISICIONES MAYO 2021]]+Tabla1[[#This Row],[ENTRADAS MAYO 2021]]</f>
        <v>38</v>
      </c>
      <c r="Y467" s="63">
        <f>+Tabla1[[#This Row],[STOCK MAYO 2021]]-Tabla1[[#This Row],[REQUISICIONES JUNIO 2021]]+Tabla1[[#This Row],[ENTRADAS JUNIO 2021]]</f>
        <v>35</v>
      </c>
      <c r="Z467" s="30" t="s">
        <v>105</v>
      </c>
      <c r="AA467" s="34">
        <v>9.5</v>
      </c>
      <c r="AB467" s="35">
        <f t="shared" si="16"/>
        <v>11.21</v>
      </c>
      <c r="AC467" s="93">
        <f>Tabla1[[#This Row],[STOCK JUNIO ]]*Tabla1[[#This Row],[COSTO UNITARIO SIN ITBIS]]</f>
        <v>332.5</v>
      </c>
    </row>
    <row r="468" spans="1:29" s="8" customFormat="1" ht="15.75" customHeight="1" x14ac:dyDescent="0.25">
      <c r="A468" s="265">
        <v>12</v>
      </c>
      <c r="B468" s="31">
        <v>42780</v>
      </c>
      <c r="C468" s="28" t="s">
        <v>11</v>
      </c>
      <c r="D468" s="31">
        <v>42780</v>
      </c>
      <c r="E468" s="137"/>
      <c r="F468" s="13">
        <v>1647</v>
      </c>
      <c r="G468" s="75" t="s">
        <v>319</v>
      </c>
      <c r="H468" s="72">
        <v>49</v>
      </c>
      <c r="I468" s="72"/>
      <c r="J468" s="72">
        <f>+'INVENTARIO ABRIL-JUNIO 2021'!$H468-'INVENTARIO ABRIL-JUNIO 2021'!$I468</f>
        <v>49</v>
      </c>
      <c r="K468" s="72"/>
      <c r="L468" s="72"/>
      <c r="M468" s="72"/>
      <c r="N468" s="72"/>
      <c r="O468" s="296"/>
      <c r="P468" s="72"/>
      <c r="Q468" s="72"/>
      <c r="R468" s="72"/>
      <c r="S468" s="72">
        <f>1+2</f>
        <v>3</v>
      </c>
      <c r="T468" s="72"/>
      <c r="U468" s="72">
        <f>+Tabla1[[#This Row],[STOCK    FISICO ENERO 2021]]-Tabla1[[#This Row],[REQUISICIONES FEBRERO 2021]]</f>
        <v>49</v>
      </c>
      <c r="V468" s="72">
        <f>+Tabla1[[#This Row],[STOCK  FEBRERO 2021]]-Tabla1[[#This Row],[REQUISICIONES MARZO 2021]]+Tabla1[[#This Row],[ENTRADAS MARZO 2021]]</f>
        <v>49</v>
      </c>
      <c r="W468" s="72">
        <f>+Tabla1[[#This Row],[STOCK MARZO 2021]]-Tabla1[[#This Row],[REQUISICIONES ABRIL 2021]]+Tabla1[[#This Row],[ENTRADAS ABRIL 2021]]</f>
        <v>49</v>
      </c>
      <c r="X468" s="72">
        <f>+Tabla1[[#This Row],[STOCK ABRIL 2021]]-Tabla1[[#This Row],[REQUISICIONES MAYO 2021]]+Tabla1[[#This Row],[ENTRADAS MAYO 2021]]</f>
        <v>46</v>
      </c>
      <c r="Y468" s="72">
        <f>+Tabla1[[#This Row],[STOCK MAYO 2021]]-Tabla1[[#This Row],[REQUISICIONES JUNIO 2021]]+Tabla1[[#This Row],[ENTRADAS JUNIO 2021]]</f>
        <v>46</v>
      </c>
      <c r="Z468" s="73" t="s">
        <v>105</v>
      </c>
      <c r="AA468" s="76">
        <v>4.5199999999999996</v>
      </c>
      <c r="AB468" s="35">
        <f t="shared" si="16"/>
        <v>5.3335999999999997</v>
      </c>
      <c r="AC468" s="93">
        <f>Tabla1[[#This Row],[STOCK JUNIO ]]*Tabla1[[#This Row],[COSTO UNITARIO SIN ITBIS]]</f>
        <v>207.92</v>
      </c>
    </row>
    <row r="469" spans="1:29" s="8" customFormat="1" ht="15.75" customHeight="1" x14ac:dyDescent="0.25">
      <c r="A469" s="265">
        <v>13</v>
      </c>
      <c r="B469" s="74">
        <v>42780</v>
      </c>
      <c r="C469" s="13" t="s">
        <v>11</v>
      </c>
      <c r="D469" s="74">
        <v>42780</v>
      </c>
      <c r="E469" s="145"/>
      <c r="F469" s="28">
        <v>1650</v>
      </c>
      <c r="G469" s="32" t="s">
        <v>320</v>
      </c>
      <c r="H469" s="63">
        <v>40</v>
      </c>
      <c r="I469" s="63"/>
      <c r="J469" s="63">
        <f>+'INVENTARIO ABRIL-JUNIO 2021'!$H469-'INVENTARIO ABRIL-JUNIO 2021'!$I469</f>
        <v>40</v>
      </c>
      <c r="K469" s="63"/>
      <c r="L469" s="63"/>
      <c r="M469" s="63"/>
      <c r="N469" s="63"/>
      <c r="O469" s="125"/>
      <c r="P469" s="63"/>
      <c r="Q469" s="63"/>
      <c r="R469" s="63"/>
      <c r="S469" s="63"/>
      <c r="T469" s="63"/>
      <c r="U469" s="63">
        <f>+Tabla1[[#This Row],[STOCK    FISICO ENERO 2021]]-Tabla1[[#This Row],[REQUISICIONES FEBRERO 2021]]</f>
        <v>40</v>
      </c>
      <c r="V469" s="63">
        <f>+Tabla1[[#This Row],[STOCK  FEBRERO 2021]]-Tabla1[[#This Row],[REQUISICIONES MARZO 2021]]+Tabla1[[#This Row],[ENTRADAS MARZO 2021]]</f>
        <v>40</v>
      </c>
      <c r="W469" s="63">
        <f>+Tabla1[[#This Row],[STOCK MARZO 2021]]-Tabla1[[#This Row],[REQUISICIONES ABRIL 2021]]+Tabla1[[#This Row],[ENTRADAS ABRIL 2021]]</f>
        <v>40</v>
      </c>
      <c r="X469" s="63">
        <f>+Tabla1[[#This Row],[STOCK ABRIL 2021]]-Tabla1[[#This Row],[REQUISICIONES MAYO 2021]]+Tabla1[[#This Row],[ENTRADAS MAYO 2021]]</f>
        <v>40</v>
      </c>
      <c r="Y469" s="63">
        <f>+Tabla1[[#This Row],[STOCK MAYO 2021]]-Tabla1[[#This Row],[REQUISICIONES JUNIO 2021]]+Tabla1[[#This Row],[ENTRADAS JUNIO 2021]]</f>
        <v>40</v>
      </c>
      <c r="Z469" s="30" t="s">
        <v>105</v>
      </c>
      <c r="AA469" s="34">
        <v>28.07</v>
      </c>
      <c r="AB469" s="35">
        <f t="shared" si="16"/>
        <v>33.122599999999998</v>
      </c>
      <c r="AC469" s="93">
        <f>Tabla1[[#This Row],[STOCK JUNIO ]]*Tabla1[[#This Row],[COSTO UNITARIO SIN ITBIS]]</f>
        <v>1122.8</v>
      </c>
    </row>
    <row r="470" spans="1:29" s="8" customFormat="1" x14ac:dyDescent="0.25">
      <c r="A470" s="265">
        <v>14</v>
      </c>
      <c r="B470" s="31">
        <v>44110</v>
      </c>
      <c r="C470" s="28" t="s">
        <v>11</v>
      </c>
      <c r="D470" s="31">
        <v>44110</v>
      </c>
      <c r="E470" s="137"/>
      <c r="F470" s="13">
        <v>1648</v>
      </c>
      <c r="G470" s="75" t="s">
        <v>321</v>
      </c>
      <c r="H470" s="72">
        <f>33+1</f>
        <v>34</v>
      </c>
      <c r="I470" s="72"/>
      <c r="J470" s="72">
        <f>+'INVENTARIO ABRIL-JUNIO 2021'!$H470-'INVENTARIO ABRIL-JUNIO 2021'!$I470</f>
        <v>34</v>
      </c>
      <c r="K470" s="72"/>
      <c r="L470" s="72"/>
      <c r="M470" s="72"/>
      <c r="N470" s="72"/>
      <c r="O470" s="296"/>
      <c r="P470" s="72">
        <v>2</v>
      </c>
      <c r="Q470" s="72"/>
      <c r="R470" s="72"/>
      <c r="S470" s="72">
        <v>1</v>
      </c>
      <c r="T470" s="72"/>
      <c r="U470" s="72">
        <f>+Tabla1[[#This Row],[STOCK    FISICO ENERO 2021]]-Tabla1[[#This Row],[REQUISICIONES FEBRERO 2021]]</f>
        <v>32</v>
      </c>
      <c r="V470" s="72">
        <f>+Tabla1[[#This Row],[STOCK  FEBRERO 2021]]-Tabla1[[#This Row],[REQUISICIONES MARZO 2021]]+Tabla1[[#This Row],[ENTRADAS MARZO 2021]]</f>
        <v>32</v>
      </c>
      <c r="W470" s="72">
        <f>+Tabla1[[#This Row],[STOCK MARZO 2021]]-Tabla1[[#This Row],[REQUISICIONES ABRIL 2021]]+Tabla1[[#This Row],[ENTRADAS ABRIL 2021]]</f>
        <v>32</v>
      </c>
      <c r="X470" s="72">
        <f>+Tabla1[[#This Row],[STOCK ABRIL 2021]]-Tabla1[[#This Row],[REQUISICIONES MAYO 2021]]+Tabla1[[#This Row],[ENTRADAS MAYO 2021]]</f>
        <v>31</v>
      </c>
      <c r="Y470" s="72">
        <f>+Tabla1[[#This Row],[STOCK MAYO 2021]]-Tabla1[[#This Row],[REQUISICIONES JUNIO 2021]]+Tabla1[[#This Row],[ENTRADAS JUNIO 2021]]</f>
        <v>31</v>
      </c>
      <c r="Z470" s="73" t="s">
        <v>105</v>
      </c>
      <c r="AA470" s="76">
        <v>5.35</v>
      </c>
      <c r="AB470" s="35">
        <f t="shared" si="16"/>
        <v>6.3129999999999997</v>
      </c>
      <c r="AC470" s="93">
        <f>Tabla1[[#This Row],[STOCK JUNIO ]]*Tabla1[[#This Row],[COSTO UNITARIO SIN ITBIS]]</f>
        <v>165.85</v>
      </c>
    </row>
    <row r="471" spans="1:29" s="8" customFormat="1" x14ac:dyDescent="0.25">
      <c r="A471" s="265">
        <v>15</v>
      </c>
      <c r="B471" s="31">
        <v>43223</v>
      </c>
      <c r="C471" s="28" t="s">
        <v>11</v>
      </c>
      <c r="D471" s="31">
        <v>43223</v>
      </c>
      <c r="E471" s="137"/>
      <c r="F471" s="13"/>
      <c r="G471" s="32" t="s">
        <v>322</v>
      </c>
      <c r="H471" s="72">
        <v>2</v>
      </c>
      <c r="I471" s="72"/>
      <c r="J471" s="72">
        <f>+'INVENTARIO ABRIL-JUNIO 2021'!$H471-'INVENTARIO ABRIL-JUNIO 2021'!$I471</f>
        <v>2</v>
      </c>
      <c r="K471" s="72"/>
      <c r="L471" s="72"/>
      <c r="M471" s="72"/>
      <c r="N471" s="72"/>
      <c r="O471" s="296"/>
      <c r="P471" s="72"/>
      <c r="Q471" s="72"/>
      <c r="R471" s="72"/>
      <c r="S471" s="72"/>
      <c r="T471" s="72"/>
      <c r="U471" s="72">
        <f>+Tabla1[[#This Row],[STOCK    FISICO ENERO 2021]]-Tabla1[[#This Row],[REQUISICIONES FEBRERO 2021]]</f>
        <v>2</v>
      </c>
      <c r="V471" s="72">
        <f>+Tabla1[[#This Row],[STOCK  FEBRERO 2021]]-Tabla1[[#This Row],[REQUISICIONES MARZO 2021]]+Tabla1[[#This Row],[ENTRADAS MARZO 2021]]</f>
        <v>2</v>
      </c>
      <c r="W471" s="72">
        <f>+Tabla1[[#This Row],[STOCK MARZO 2021]]-Tabla1[[#This Row],[REQUISICIONES ABRIL 2021]]+Tabla1[[#This Row],[ENTRADAS ABRIL 2021]]</f>
        <v>2</v>
      </c>
      <c r="X471" s="72">
        <f>+Tabla1[[#This Row],[STOCK ABRIL 2021]]-Tabla1[[#This Row],[REQUISICIONES MAYO 2021]]+Tabla1[[#This Row],[ENTRADAS MAYO 2021]]</f>
        <v>2</v>
      </c>
      <c r="Y471" s="72">
        <f>+Tabla1[[#This Row],[STOCK MAYO 2021]]-Tabla1[[#This Row],[REQUISICIONES JUNIO 2021]]+Tabla1[[#This Row],[ENTRADAS JUNIO 2021]]</f>
        <v>2</v>
      </c>
      <c r="Z471" s="73" t="s">
        <v>105</v>
      </c>
      <c r="AA471" s="76">
        <v>236</v>
      </c>
      <c r="AB471" s="35">
        <f t="shared" si="16"/>
        <v>278.48</v>
      </c>
      <c r="AC471" s="93">
        <f>Tabla1[[#This Row],[STOCK JUNIO ]]*Tabla1[[#This Row],[COSTO UNITARIO SIN ITBIS]]</f>
        <v>472</v>
      </c>
    </row>
    <row r="472" spans="1:29" s="8" customFormat="1" ht="16.5" customHeight="1" x14ac:dyDescent="0.25">
      <c r="A472" s="265">
        <v>16</v>
      </c>
      <c r="B472" s="74">
        <v>44026</v>
      </c>
      <c r="C472" s="13" t="s">
        <v>11</v>
      </c>
      <c r="D472" s="74">
        <v>44026</v>
      </c>
      <c r="E472" s="145"/>
      <c r="F472" s="13"/>
      <c r="G472" s="75" t="s">
        <v>323</v>
      </c>
      <c r="H472" s="72">
        <v>10</v>
      </c>
      <c r="I472" s="72"/>
      <c r="J472" s="72">
        <f>+'INVENTARIO ABRIL-JUNIO 2021'!$H472-'INVENTARIO ABRIL-JUNIO 2021'!$I472</f>
        <v>10</v>
      </c>
      <c r="K472" s="72"/>
      <c r="L472" s="72"/>
      <c r="M472" s="72"/>
      <c r="N472" s="72"/>
      <c r="O472" s="296"/>
      <c r="P472" s="72"/>
      <c r="Q472" s="72"/>
      <c r="R472" s="72"/>
      <c r="S472" s="72"/>
      <c r="T472" s="72">
        <v>10</v>
      </c>
      <c r="U472" s="72">
        <f>+Tabla1[[#This Row],[STOCK    FISICO ENERO 2021]]-Tabla1[[#This Row],[REQUISICIONES FEBRERO 2021]]</f>
        <v>10</v>
      </c>
      <c r="V472" s="72">
        <f>+Tabla1[[#This Row],[STOCK  FEBRERO 2021]]-Tabla1[[#This Row],[REQUISICIONES MARZO 2021]]+Tabla1[[#This Row],[ENTRADAS MARZO 2021]]</f>
        <v>10</v>
      </c>
      <c r="W472" s="72">
        <f>+Tabla1[[#This Row],[STOCK MARZO 2021]]-Tabla1[[#This Row],[REQUISICIONES ABRIL 2021]]+Tabla1[[#This Row],[ENTRADAS ABRIL 2021]]</f>
        <v>10</v>
      </c>
      <c r="X472" s="72">
        <f>+Tabla1[[#This Row],[STOCK ABRIL 2021]]-Tabla1[[#This Row],[REQUISICIONES MAYO 2021]]+Tabla1[[#This Row],[ENTRADAS MAYO 2021]]</f>
        <v>10</v>
      </c>
      <c r="Y472" s="72">
        <f>+Tabla1[[#This Row],[STOCK MAYO 2021]]-Tabla1[[#This Row],[REQUISICIONES JUNIO 2021]]+Tabla1[[#This Row],[ENTRADAS JUNIO 2021]]</f>
        <v>0</v>
      </c>
      <c r="Z472" s="73" t="s">
        <v>105</v>
      </c>
      <c r="AA472" s="76">
        <v>188.8</v>
      </c>
      <c r="AB472" s="35">
        <f t="shared" si="16"/>
        <v>222.78400000000002</v>
      </c>
      <c r="AC472" s="93">
        <f>Tabla1[[#This Row],[STOCK JUNIO ]]*Tabla1[[#This Row],[COSTO UNITARIO SIN ITBIS]]</f>
        <v>0</v>
      </c>
    </row>
    <row r="473" spans="1:29" s="8" customFormat="1" ht="15.75" customHeight="1" x14ac:dyDescent="0.25">
      <c r="A473" s="265">
        <v>17</v>
      </c>
      <c r="B473" s="31">
        <v>44168</v>
      </c>
      <c r="C473" s="13" t="s">
        <v>11</v>
      </c>
      <c r="D473" s="31">
        <v>44153</v>
      </c>
      <c r="E473" s="137"/>
      <c r="F473" s="13"/>
      <c r="G473" s="75" t="s">
        <v>324</v>
      </c>
      <c r="H473" s="72">
        <v>30</v>
      </c>
      <c r="I473" s="72"/>
      <c r="J473" s="72">
        <f>+'INVENTARIO ABRIL-JUNIO 2021'!$H473-'INVENTARIO ABRIL-JUNIO 2021'!$I473</f>
        <v>30</v>
      </c>
      <c r="K473" s="72"/>
      <c r="L473" s="72"/>
      <c r="M473" s="72"/>
      <c r="N473" s="72"/>
      <c r="O473" s="296"/>
      <c r="P473" s="72"/>
      <c r="Q473" s="72"/>
      <c r="R473" s="72"/>
      <c r="S473" s="72"/>
      <c r="T473" s="72"/>
      <c r="U473" s="72">
        <f>+Tabla1[[#This Row],[STOCK    FISICO ENERO 2021]]-Tabla1[[#This Row],[REQUISICIONES FEBRERO 2021]]</f>
        <v>30</v>
      </c>
      <c r="V473" s="72">
        <f>+Tabla1[[#This Row],[STOCK  FEBRERO 2021]]-Tabla1[[#This Row],[REQUISICIONES MARZO 2021]]+Tabla1[[#This Row],[ENTRADAS MARZO 2021]]</f>
        <v>30</v>
      </c>
      <c r="W473" s="72">
        <f>+Tabla1[[#This Row],[STOCK MARZO 2021]]-Tabla1[[#This Row],[REQUISICIONES ABRIL 2021]]+Tabla1[[#This Row],[ENTRADAS ABRIL 2021]]</f>
        <v>30</v>
      </c>
      <c r="X473" s="72">
        <f>+Tabla1[[#This Row],[STOCK ABRIL 2021]]-Tabla1[[#This Row],[REQUISICIONES MAYO 2021]]+Tabla1[[#This Row],[ENTRADAS MAYO 2021]]</f>
        <v>30</v>
      </c>
      <c r="Y473" s="72">
        <f>+Tabla1[[#This Row],[STOCK MAYO 2021]]-Tabla1[[#This Row],[REQUISICIONES JUNIO 2021]]+Tabla1[[#This Row],[ENTRADAS JUNIO 2021]]</f>
        <v>30</v>
      </c>
      <c r="Z473" s="73" t="s">
        <v>105</v>
      </c>
      <c r="AA473" s="76">
        <v>94.4</v>
      </c>
      <c r="AB473" s="35">
        <f t="shared" si="16"/>
        <v>111.39200000000001</v>
      </c>
      <c r="AC473" s="93">
        <f>Tabla1[[#This Row],[STOCK JUNIO ]]*Tabla1[[#This Row],[COSTO UNITARIO SIN ITBIS]]</f>
        <v>2832</v>
      </c>
    </row>
    <row r="474" spans="1:29" s="8" customFormat="1" x14ac:dyDescent="0.25">
      <c r="A474" s="265">
        <v>18</v>
      </c>
      <c r="B474" s="31">
        <v>44168</v>
      </c>
      <c r="C474" s="28" t="s">
        <v>11</v>
      </c>
      <c r="D474" s="31">
        <v>44153</v>
      </c>
      <c r="E474" s="137"/>
      <c r="F474" s="28">
        <v>1672</v>
      </c>
      <c r="G474" s="32" t="s">
        <v>325</v>
      </c>
      <c r="H474" s="63">
        <v>25</v>
      </c>
      <c r="I474" s="63"/>
      <c r="J474" s="63">
        <f>+'INVENTARIO ABRIL-JUNIO 2021'!$H474-'INVENTARIO ABRIL-JUNIO 2021'!$I474</f>
        <v>25</v>
      </c>
      <c r="K474" s="63"/>
      <c r="L474" s="63"/>
      <c r="M474" s="63"/>
      <c r="N474" s="63"/>
      <c r="O474" s="125"/>
      <c r="P474" s="63">
        <v>1</v>
      </c>
      <c r="Q474" s="63">
        <v>1</v>
      </c>
      <c r="R474" s="63">
        <f>2+1</f>
        <v>3</v>
      </c>
      <c r="S474" s="63">
        <v>1</v>
      </c>
      <c r="T474" s="63">
        <v>1</v>
      </c>
      <c r="U474" s="63">
        <f>+Tabla1[[#This Row],[STOCK    FISICO ENERO 2021]]-Tabla1[[#This Row],[REQUISICIONES FEBRERO 2021]]</f>
        <v>24</v>
      </c>
      <c r="V474" s="63">
        <f>+Tabla1[[#This Row],[STOCK  FEBRERO 2021]]-Tabla1[[#This Row],[REQUISICIONES MARZO 2021]]+Tabla1[[#This Row],[ENTRADAS MARZO 2021]]</f>
        <v>23</v>
      </c>
      <c r="W474" s="63">
        <f>+Tabla1[[#This Row],[STOCK MARZO 2021]]-Tabla1[[#This Row],[REQUISICIONES ABRIL 2021]]+Tabla1[[#This Row],[ENTRADAS ABRIL 2021]]</f>
        <v>20</v>
      </c>
      <c r="X474" s="63">
        <f>+Tabla1[[#This Row],[STOCK ABRIL 2021]]-Tabla1[[#This Row],[REQUISICIONES MAYO 2021]]+Tabla1[[#This Row],[ENTRADAS MAYO 2021]]</f>
        <v>19</v>
      </c>
      <c r="Y474" s="63">
        <f>+Tabla1[[#This Row],[STOCK MAYO 2021]]-Tabla1[[#This Row],[REQUISICIONES JUNIO 2021]]+Tabla1[[#This Row],[ENTRADAS JUNIO 2021]]</f>
        <v>18</v>
      </c>
      <c r="Z474" s="30" t="s">
        <v>12</v>
      </c>
      <c r="AA474" s="34">
        <v>170.4</v>
      </c>
      <c r="AB474" s="35">
        <f t="shared" si="16"/>
        <v>201.072</v>
      </c>
      <c r="AC474" s="93">
        <f>Tabla1[[#This Row],[STOCK JUNIO ]]*Tabla1[[#This Row],[COSTO UNITARIO SIN ITBIS]]</f>
        <v>3067.2000000000003</v>
      </c>
    </row>
    <row r="475" spans="1:29" s="8" customFormat="1" x14ac:dyDescent="0.25">
      <c r="A475" s="265">
        <v>19</v>
      </c>
      <c r="B475" s="74">
        <v>42780</v>
      </c>
      <c r="C475" s="13" t="s">
        <v>11</v>
      </c>
      <c r="D475" s="74">
        <v>42780</v>
      </c>
      <c r="E475" s="145"/>
      <c r="F475" s="13" t="s">
        <v>20</v>
      </c>
      <c r="G475" s="75" t="s">
        <v>326</v>
      </c>
      <c r="H475" s="72">
        <v>28</v>
      </c>
      <c r="I475" s="72"/>
      <c r="J475" s="72">
        <f>+'INVENTARIO ABRIL-JUNIO 2021'!$H475-'INVENTARIO ABRIL-JUNIO 2021'!$I475</f>
        <v>28</v>
      </c>
      <c r="K475" s="72"/>
      <c r="L475" s="72"/>
      <c r="M475" s="72"/>
      <c r="N475" s="72"/>
      <c r="O475" s="296"/>
      <c r="P475" s="72"/>
      <c r="Q475" s="72"/>
      <c r="R475" s="72"/>
      <c r="S475" s="72"/>
      <c r="T475" s="72"/>
      <c r="U475" s="72">
        <f>+Tabla1[[#This Row],[STOCK    FISICO ENERO 2021]]-Tabla1[[#This Row],[REQUISICIONES FEBRERO 2021]]</f>
        <v>28</v>
      </c>
      <c r="V475" s="72">
        <f>+Tabla1[[#This Row],[STOCK  FEBRERO 2021]]-Tabla1[[#This Row],[REQUISICIONES MARZO 2021]]+Tabla1[[#This Row],[ENTRADAS MARZO 2021]]</f>
        <v>28</v>
      </c>
      <c r="W475" s="72">
        <f>+Tabla1[[#This Row],[STOCK MARZO 2021]]-Tabla1[[#This Row],[REQUISICIONES ABRIL 2021]]+Tabla1[[#This Row],[ENTRADAS ABRIL 2021]]</f>
        <v>28</v>
      </c>
      <c r="X475" s="72">
        <f>+Tabla1[[#This Row],[STOCK ABRIL 2021]]-Tabla1[[#This Row],[REQUISICIONES MAYO 2021]]+Tabla1[[#This Row],[ENTRADAS MAYO 2021]]</f>
        <v>28</v>
      </c>
      <c r="Y475" s="72">
        <f>+Tabla1[[#This Row],[STOCK MAYO 2021]]-Tabla1[[#This Row],[REQUISICIONES JUNIO 2021]]+Tabla1[[#This Row],[ENTRADAS JUNIO 2021]]</f>
        <v>28</v>
      </c>
      <c r="Z475" s="73" t="s">
        <v>12</v>
      </c>
      <c r="AA475" s="76">
        <v>0</v>
      </c>
      <c r="AB475" s="35">
        <f t="shared" si="16"/>
        <v>0</v>
      </c>
      <c r="AC475" s="93">
        <f>Tabla1[[#This Row],[STOCK JUNIO ]]*Tabla1[[#This Row],[COSTO UNITARIO SIN ITBIS]]</f>
        <v>0</v>
      </c>
    </row>
    <row r="476" spans="1:29" s="8" customFormat="1" x14ac:dyDescent="0.25">
      <c r="A476" s="265">
        <v>20</v>
      </c>
      <c r="B476" s="74">
        <v>42780</v>
      </c>
      <c r="C476" s="13" t="s">
        <v>11</v>
      </c>
      <c r="D476" s="74">
        <v>42780</v>
      </c>
      <c r="E476" s="145"/>
      <c r="F476" s="13">
        <v>1025</v>
      </c>
      <c r="G476" s="75" t="s">
        <v>327</v>
      </c>
      <c r="H476" s="72">
        <v>2</v>
      </c>
      <c r="I476" s="72"/>
      <c r="J476" s="72">
        <f>+'INVENTARIO ABRIL-JUNIO 2021'!$H476-'INVENTARIO ABRIL-JUNIO 2021'!$I476</f>
        <v>2</v>
      </c>
      <c r="K476" s="72"/>
      <c r="L476" s="72"/>
      <c r="M476" s="72"/>
      <c r="N476" s="72"/>
      <c r="O476" s="296"/>
      <c r="P476" s="72"/>
      <c r="Q476" s="72"/>
      <c r="R476" s="72"/>
      <c r="S476" s="72"/>
      <c r="T476" s="72"/>
      <c r="U476" s="72">
        <f>+Tabla1[[#This Row],[STOCK    FISICO ENERO 2021]]-Tabla1[[#This Row],[REQUISICIONES FEBRERO 2021]]</f>
        <v>2</v>
      </c>
      <c r="V476" s="72">
        <f>+Tabla1[[#This Row],[STOCK  FEBRERO 2021]]-Tabla1[[#This Row],[REQUISICIONES MARZO 2021]]+Tabla1[[#This Row],[ENTRADAS MARZO 2021]]</f>
        <v>2</v>
      </c>
      <c r="W476" s="72">
        <f>+Tabla1[[#This Row],[STOCK MARZO 2021]]-Tabla1[[#This Row],[REQUISICIONES ABRIL 2021]]+Tabla1[[#This Row],[ENTRADAS ABRIL 2021]]</f>
        <v>2</v>
      </c>
      <c r="X476" s="72">
        <f>+Tabla1[[#This Row],[STOCK ABRIL 2021]]-Tabla1[[#This Row],[REQUISICIONES MAYO 2021]]+Tabla1[[#This Row],[ENTRADAS MAYO 2021]]</f>
        <v>2</v>
      </c>
      <c r="Y476" s="72">
        <f>+Tabla1[[#This Row],[STOCK MAYO 2021]]-Tabla1[[#This Row],[REQUISICIONES JUNIO 2021]]+Tabla1[[#This Row],[ENTRADAS JUNIO 2021]]</f>
        <v>2</v>
      </c>
      <c r="Z476" s="73" t="s">
        <v>105</v>
      </c>
      <c r="AA476" s="76">
        <v>60</v>
      </c>
      <c r="AB476" s="35">
        <f t="shared" si="16"/>
        <v>70.8</v>
      </c>
      <c r="AC476" s="93">
        <f>Tabla1[[#This Row],[STOCK JUNIO ]]*Tabla1[[#This Row],[COSTO UNITARIO SIN ITBIS]]</f>
        <v>120</v>
      </c>
    </row>
    <row r="477" spans="1:29" s="8" customFormat="1" x14ac:dyDescent="0.25">
      <c r="A477" s="265">
        <v>21</v>
      </c>
      <c r="B477" s="31">
        <v>43223</v>
      </c>
      <c r="C477" s="28" t="s">
        <v>11</v>
      </c>
      <c r="D477" s="31">
        <v>43223</v>
      </c>
      <c r="E477" s="137"/>
      <c r="F477" s="28">
        <v>1026</v>
      </c>
      <c r="G477" s="32" t="s">
        <v>328</v>
      </c>
      <c r="H477" s="63">
        <v>5</v>
      </c>
      <c r="I477" s="63"/>
      <c r="J477" s="63">
        <f>+'INVENTARIO ABRIL-JUNIO 2021'!$H477-'INVENTARIO ABRIL-JUNIO 2021'!$I477</f>
        <v>5</v>
      </c>
      <c r="K477" s="63"/>
      <c r="L477" s="63"/>
      <c r="M477" s="63"/>
      <c r="N477" s="63"/>
      <c r="O477" s="125"/>
      <c r="P477" s="63"/>
      <c r="Q477" s="63"/>
      <c r="R477" s="63"/>
      <c r="S477" s="63"/>
      <c r="T477" s="63"/>
      <c r="U477" s="63">
        <f>+Tabla1[[#This Row],[STOCK    FISICO ENERO 2021]]-Tabla1[[#This Row],[REQUISICIONES FEBRERO 2021]]</f>
        <v>5</v>
      </c>
      <c r="V477" s="63">
        <f>+Tabla1[[#This Row],[STOCK  FEBRERO 2021]]-Tabla1[[#This Row],[REQUISICIONES MARZO 2021]]+Tabla1[[#This Row],[ENTRADAS MARZO 2021]]</f>
        <v>5</v>
      </c>
      <c r="W477" s="63">
        <f>+Tabla1[[#This Row],[STOCK MARZO 2021]]-Tabla1[[#This Row],[REQUISICIONES ABRIL 2021]]+Tabla1[[#This Row],[ENTRADAS ABRIL 2021]]</f>
        <v>5</v>
      </c>
      <c r="X477" s="63">
        <f>+Tabla1[[#This Row],[STOCK ABRIL 2021]]-Tabla1[[#This Row],[REQUISICIONES MAYO 2021]]+Tabla1[[#This Row],[ENTRADAS MAYO 2021]]</f>
        <v>5</v>
      </c>
      <c r="Y477" s="63">
        <f>+Tabla1[[#This Row],[STOCK MAYO 2021]]-Tabla1[[#This Row],[REQUISICIONES JUNIO 2021]]+Tabla1[[#This Row],[ENTRADAS JUNIO 2021]]</f>
        <v>5</v>
      </c>
      <c r="Z477" s="30" t="s">
        <v>12</v>
      </c>
      <c r="AA477" s="34">
        <v>304</v>
      </c>
      <c r="AB477" s="35">
        <f t="shared" si="16"/>
        <v>358.72</v>
      </c>
      <c r="AC477" s="93">
        <f>Tabla1[[#This Row],[STOCK JUNIO ]]*Tabla1[[#This Row],[COSTO UNITARIO SIN ITBIS]]</f>
        <v>1520</v>
      </c>
    </row>
    <row r="478" spans="1:29" s="8" customFormat="1" x14ac:dyDescent="0.25">
      <c r="A478" s="265">
        <v>22</v>
      </c>
      <c r="B478" s="31">
        <v>44026</v>
      </c>
      <c r="C478" s="28" t="s">
        <v>11</v>
      </c>
      <c r="D478" s="31">
        <v>44026</v>
      </c>
      <c r="E478" s="137"/>
      <c r="F478" s="13">
        <v>1701</v>
      </c>
      <c r="G478" s="75" t="s">
        <v>329</v>
      </c>
      <c r="H478" s="72">
        <v>2</v>
      </c>
      <c r="I478" s="72"/>
      <c r="J478" s="72">
        <f>+'INVENTARIO ABRIL-JUNIO 2021'!$H478-'INVENTARIO ABRIL-JUNIO 2021'!$I478</f>
        <v>2</v>
      </c>
      <c r="K478" s="72"/>
      <c r="L478" s="72"/>
      <c r="M478" s="72"/>
      <c r="N478" s="72"/>
      <c r="O478" s="296"/>
      <c r="P478" s="72"/>
      <c r="Q478" s="72">
        <v>1</v>
      </c>
      <c r="R478" s="72"/>
      <c r="S478" s="72"/>
      <c r="T478" s="72"/>
      <c r="U478" s="72">
        <f>+Tabla1[[#This Row],[STOCK    FISICO ENERO 2021]]-Tabla1[[#This Row],[REQUISICIONES FEBRERO 2021]]</f>
        <v>2</v>
      </c>
      <c r="V478" s="72">
        <f>+Tabla1[[#This Row],[STOCK  FEBRERO 2021]]-Tabla1[[#This Row],[REQUISICIONES MARZO 2021]]+Tabla1[[#This Row],[ENTRADAS MARZO 2021]]</f>
        <v>1</v>
      </c>
      <c r="W478" s="72">
        <f>+Tabla1[[#This Row],[STOCK MARZO 2021]]-Tabla1[[#This Row],[REQUISICIONES ABRIL 2021]]+Tabla1[[#This Row],[ENTRADAS ABRIL 2021]]</f>
        <v>1</v>
      </c>
      <c r="X478" s="72">
        <f>+Tabla1[[#This Row],[STOCK ABRIL 2021]]-Tabla1[[#This Row],[REQUISICIONES MAYO 2021]]+Tabla1[[#This Row],[ENTRADAS MAYO 2021]]</f>
        <v>1</v>
      </c>
      <c r="Y478" s="72">
        <f>+Tabla1[[#This Row],[STOCK MAYO 2021]]-Tabla1[[#This Row],[REQUISICIONES JUNIO 2021]]+Tabla1[[#This Row],[ENTRADAS JUNIO 2021]]</f>
        <v>1</v>
      </c>
      <c r="Z478" s="73" t="s">
        <v>12</v>
      </c>
      <c r="AA478" s="76">
        <v>462</v>
      </c>
      <c r="AB478" s="35">
        <f t="shared" si="16"/>
        <v>545.16</v>
      </c>
      <c r="AC478" s="93">
        <f>Tabla1[[#This Row],[STOCK JUNIO ]]*Tabla1[[#This Row],[COSTO UNITARIO SIN ITBIS]]</f>
        <v>462</v>
      </c>
    </row>
    <row r="479" spans="1:29" s="8" customFormat="1" x14ac:dyDescent="0.25">
      <c r="A479" s="265">
        <v>23</v>
      </c>
      <c r="B479" s="31">
        <v>44168</v>
      </c>
      <c r="C479" s="13" t="s">
        <v>11</v>
      </c>
      <c r="D479" s="31">
        <v>44153</v>
      </c>
      <c r="E479" s="137"/>
      <c r="F479" s="28">
        <v>1301</v>
      </c>
      <c r="G479" s="32" t="s">
        <v>330</v>
      </c>
      <c r="H479" s="63">
        <v>10</v>
      </c>
      <c r="I479" s="63"/>
      <c r="J479" s="63">
        <f>+'INVENTARIO ABRIL-JUNIO 2021'!$H479-'INVENTARIO ABRIL-JUNIO 2021'!$I479</f>
        <v>10</v>
      </c>
      <c r="K479" s="63"/>
      <c r="L479" s="63"/>
      <c r="M479" s="63"/>
      <c r="N479" s="63"/>
      <c r="O479" s="125"/>
      <c r="P479" s="63">
        <v>1</v>
      </c>
      <c r="Q479" s="63">
        <v>1</v>
      </c>
      <c r="R479" s="63"/>
      <c r="S479" s="63">
        <v>1</v>
      </c>
      <c r="T479" s="63"/>
      <c r="U479" s="63">
        <f>+Tabla1[[#This Row],[STOCK    FISICO ENERO 2021]]-Tabla1[[#This Row],[REQUISICIONES FEBRERO 2021]]</f>
        <v>9</v>
      </c>
      <c r="V479" s="63">
        <f>+Tabla1[[#This Row],[STOCK  FEBRERO 2021]]-Tabla1[[#This Row],[REQUISICIONES MARZO 2021]]+Tabla1[[#This Row],[ENTRADAS MARZO 2021]]</f>
        <v>8</v>
      </c>
      <c r="W479" s="63">
        <f>+Tabla1[[#This Row],[STOCK MARZO 2021]]-Tabla1[[#This Row],[REQUISICIONES ABRIL 2021]]+Tabla1[[#This Row],[ENTRADAS ABRIL 2021]]</f>
        <v>8</v>
      </c>
      <c r="X479" s="63">
        <f>+Tabla1[[#This Row],[STOCK ABRIL 2021]]-Tabla1[[#This Row],[REQUISICIONES MAYO 2021]]+Tabla1[[#This Row],[ENTRADAS MAYO 2021]]</f>
        <v>7</v>
      </c>
      <c r="Y479" s="63">
        <f>+Tabla1[[#This Row],[STOCK MAYO 2021]]-Tabla1[[#This Row],[REQUISICIONES JUNIO 2021]]+Tabla1[[#This Row],[ENTRADAS JUNIO 2021]]</f>
        <v>7</v>
      </c>
      <c r="Z479" s="30" t="s">
        <v>331</v>
      </c>
      <c r="AA479" s="34">
        <v>649</v>
      </c>
      <c r="AB479" s="35">
        <f t="shared" si="16"/>
        <v>765.81999999999994</v>
      </c>
      <c r="AC479" s="93">
        <f>Tabla1[[#This Row],[STOCK JUNIO ]]*Tabla1[[#This Row],[COSTO UNITARIO SIN ITBIS]]</f>
        <v>4543</v>
      </c>
    </row>
    <row r="480" spans="1:29" s="8" customFormat="1" x14ac:dyDescent="0.25">
      <c r="A480" s="265">
        <v>24</v>
      </c>
      <c r="B480" s="31">
        <v>44026</v>
      </c>
      <c r="C480" s="28" t="s">
        <v>11</v>
      </c>
      <c r="D480" s="31">
        <v>44026</v>
      </c>
      <c r="E480" s="137"/>
      <c r="F480" s="13" t="s">
        <v>20</v>
      </c>
      <c r="G480" s="75" t="s">
        <v>332</v>
      </c>
      <c r="H480" s="72">
        <v>12</v>
      </c>
      <c r="I480" s="72"/>
      <c r="J480" s="72">
        <f>+'INVENTARIO ABRIL-JUNIO 2021'!$H480-'INVENTARIO ABRIL-JUNIO 2021'!$I480</f>
        <v>12</v>
      </c>
      <c r="K480" s="72"/>
      <c r="L480" s="72"/>
      <c r="M480" s="72"/>
      <c r="N480" s="72"/>
      <c r="O480" s="296"/>
      <c r="P480" s="72"/>
      <c r="Q480" s="72"/>
      <c r="R480" s="72"/>
      <c r="S480" s="72"/>
      <c r="T480" s="72"/>
      <c r="U480" s="72">
        <f>+Tabla1[[#This Row],[STOCK    FISICO ENERO 2021]]-Tabla1[[#This Row],[REQUISICIONES FEBRERO 2021]]</f>
        <v>12</v>
      </c>
      <c r="V480" s="72">
        <f>+Tabla1[[#This Row],[STOCK  FEBRERO 2021]]-Tabla1[[#This Row],[REQUISICIONES MARZO 2021]]+Tabla1[[#This Row],[ENTRADAS MARZO 2021]]</f>
        <v>12</v>
      </c>
      <c r="W480" s="72">
        <f>+Tabla1[[#This Row],[STOCK MARZO 2021]]-Tabla1[[#This Row],[REQUISICIONES ABRIL 2021]]+Tabla1[[#This Row],[ENTRADAS ABRIL 2021]]</f>
        <v>12</v>
      </c>
      <c r="X480" s="72">
        <f>+Tabla1[[#This Row],[STOCK ABRIL 2021]]-Tabla1[[#This Row],[REQUISICIONES MAYO 2021]]+Tabla1[[#This Row],[ENTRADAS MAYO 2021]]</f>
        <v>12</v>
      </c>
      <c r="Y480" s="72">
        <f>+Tabla1[[#This Row],[STOCK MAYO 2021]]-Tabla1[[#This Row],[REQUISICIONES JUNIO 2021]]+Tabla1[[#This Row],[ENTRADAS JUNIO 2021]]</f>
        <v>12</v>
      </c>
      <c r="Z480" s="73" t="s">
        <v>12</v>
      </c>
      <c r="AA480" s="76">
        <v>0</v>
      </c>
      <c r="AB480" s="35">
        <f t="shared" si="16"/>
        <v>0</v>
      </c>
      <c r="AC480" s="93">
        <f>Tabla1[[#This Row],[STOCK JUNIO ]]*Tabla1[[#This Row],[COSTO UNITARIO SIN ITBIS]]</f>
        <v>0</v>
      </c>
    </row>
    <row r="481" spans="1:29" s="8" customFormat="1" x14ac:dyDescent="0.25">
      <c r="A481" s="265">
        <v>25</v>
      </c>
      <c r="B481" s="74">
        <v>44168</v>
      </c>
      <c r="C481" s="13" t="s">
        <v>11</v>
      </c>
      <c r="D481" s="74">
        <v>44153</v>
      </c>
      <c r="E481" s="145"/>
      <c r="F481" s="13">
        <v>1703</v>
      </c>
      <c r="G481" s="75" t="s">
        <v>333</v>
      </c>
      <c r="H481" s="72">
        <v>3</v>
      </c>
      <c r="I481" s="72"/>
      <c r="J481" s="72">
        <f>+'INVENTARIO ABRIL-JUNIO 2021'!$H481-'INVENTARIO ABRIL-JUNIO 2021'!$I481</f>
        <v>3</v>
      </c>
      <c r="K481" s="72"/>
      <c r="L481" s="72"/>
      <c r="M481" s="72"/>
      <c r="N481" s="72"/>
      <c r="O481" s="296"/>
      <c r="P481" s="72"/>
      <c r="Q481" s="72"/>
      <c r="R481" s="72"/>
      <c r="S481" s="72"/>
      <c r="T481" s="72"/>
      <c r="U481" s="72">
        <f>+Tabla1[[#This Row],[STOCK    FISICO ENERO 2021]]-Tabla1[[#This Row],[REQUISICIONES FEBRERO 2021]]</f>
        <v>3</v>
      </c>
      <c r="V481" s="72">
        <f>+Tabla1[[#This Row],[STOCK  FEBRERO 2021]]-Tabla1[[#This Row],[REQUISICIONES MARZO 2021]]+Tabla1[[#This Row],[ENTRADAS MARZO 2021]]</f>
        <v>3</v>
      </c>
      <c r="W481" s="72">
        <f>+Tabla1[[#This Row],[STOCK MARZO 2021]]-Tabla1[[#This Row],[REQUISICIONES ABRIL 2021]]+Tabla1[[#This Row],[ENTRADAS ABRIL 2021]]</f>
        <v>3</v>
      </c>
      <c r="X481" s="72">
        <f>+Tabla1[[#This Row],[STOCK ABRIL 2021]]-Tabla1[[#This Row],[REQUISICIONES MAYO 2021]]+Tabla1[[#This Row],[ENTRADAS MAYO 2021]]</f>
        <v>3</v>
      </c>
      <c r="Y481" s="72">
        <f>+Tabla1[[#This Row],[STOCK MAYO 2021]]-Tabla1[[#This Row],[REQUISICIONES JUNIO 2021]]+Tabla1[[#This Row],[ENTRADAS JUNIO 2021]]</f>
        <v>3</v>
      </c>
      <c r="Z481" s="73" t="s">
        <v>12</v>
      </c>
      <c r="AA481" s="76">
        <v>228.81</v>
      </c>
      <c r="AB481" s="35">
        <f t="shared" si="16"/>
        <v>269.99580000000003</v>
      </c>
      <c r="AC481" s="93">
        <f>Tabla1[[#This Row],[STOCK JUNIO ]]*Tabla1[[#This Row],[COSTO UNITARIO SIN ITBIS]]</f>
        <v>686.43000000000006</v>
      </c>
    </row>
    <row r="482" spans="1:29" s="8" customFormat="1" x14ac:dyDescent="0.25">
      <c r="A482" s="265">
        <v>26</v>
      </c>
      <c r="B482" s="31">
        <v>44026</v>
      </c>
      <c r="C482" s="28" t="s">
        <v>11</v>
      </c>
      <c r="D482" s="31">
        <v>44026</v>
      </c>
      <c r="E482" s="137"/>
      <c r="F482" s="13"/>
      <c r="G482" s="75" t="s">
        <v>334</v>
      </c>
      <c r="H482" s="72">
        <v>3</v>
      </c>
      <c r="I482" s="72"/>
      <c r="J482" s="72">
        <f>+'INVENTARIO ABRIL-JUNIO 2021'!$H482-'INVENTARIO ABRIL-JUNIO 2021'!$I482</f>
        <v>3</v>
      </c>
      <c r="K482" s="72"/>
      <c r="L482" s="72"/>
      <c r="M482" s="72"/>
      <c r="N482" s="72"/>
      <c r="O482" s="296"/>
      <c r="P482" s="72"/>
      <c r="Q482" s="72"/>
      <c r="R482" s="72"/>
      <c r="S482" s="72"/>
      <c r="T482" s="72"/>
      <c r="U482" s="72">
        <f>+Tabla1[[#This Row],[STOCK    FISICO ENERO 2021]]-Tabla1[[#This Row],[REQUISICIONES FEBRERO 2021]]</f>
        <v>3</v>
      </c>
      <c r="V482" s="72">
        <f>+Tabla1[[#This Row],[STOCK  FEBRERO 2021]]-Tabla1[[#This Row],[REQUISICIONES MARZO 2021]]+Tabla1[[#This Row],[ENTRADAS MARZO 2021]]</f>
        <v>3</v>
      </c>
      <c r="W482" s="72">
        <f>+Tabla1[[#This Row],[STOCK MARZO 2021]]-Tabla1[[#This Row],[REQUISICIONES ABRIL 2021]]+Tabla1[[#This Row],[ENTRADAS ABRIL 2021]]</f>
        <v>3</v>
      </c>
      <c r="X482" s="72">
        <f>+Tabla1[[#This Row],[STOCK ABRIL 2021]]-Tabla1[[#This Row],[REQUISICIONES MAYO 2021]]+Tabla1[[#This Row],[ENTRADAS MAYO 2021]]</f>
        <v>3</v>
      </c>
      <c r="Y482" s="72">
        <f>+Tabla1[[#This Row],[STOCK MAYO 2021]]-Tabla1[[#This Row],[REQUISICIONES JUNIO 2021]]+Tabla1[[#This Row],[ENTRADAS JUNIO 2021]]</f>
        <v>3</v>
      </c>
      <c r="Z482" s="73" t="s">
        <v>12</v>
      </c>
      <c r="AA482" s="76">
        <v>2542.9</v>
      </c>
      <c r="AB482" s="35">
        <f t="shared" si="16"/>
        <v>3000.6220000000003</v>
      </c>
      <c r="AC482" s="93">
        <f>Tabla1[[#This Row],[STOCK JUNIO ]]*Tabla1[[#This Row],[COSTO UNITARIO SIN ITBIS]]</f>
        <v>7628.7000000000007</v>
      </c>
    </row>
    <row r="483" spans="1:29" s="8" customFormat="1" x14ac:dyDescent="0.25">
      <c r="A483" s="265">
        <v>27</v>
      </c>
      <c r="B483" s="74">
        <v>44110</v>
      </c>
      <c r="C483" s="13" t="s">
        <v>11</v>
      </c>
      <c r="D483" s="74">
        <v>44110</v>
      </c>
      <c r="E483" s="145"/>
      <c r="F483" s="28">
        <v>1702</v>
      </c>
      <c r="G483" s="32" t="s">
        <v>335</v>
      </c>
      <c r="H483" s="63">
        <v>22</v>
      </c>
      <c r="I483" s="63"/>
      <c r="J483" s="63">
        <f>+'INVENTARIO ABRIL-JUNIO 2021'!$H483-'INVENTARIO ABRIL-JUNIO 2021'!$I483</f>
        <v>22</v>
      </c>
      <c r="K483" s="63"/>
      <c r="L483" s="63"/>
      <c r="M483" s="63"/>
      <c r="N483" s="63"/>
      <c r="O483" s="125"/>
      <c r="P483" s="63"/>
      <c r="Q483" s="63"/>
      <c r="R483" s="63"/>
      <c r="S483" s="63"/>
      <c r="T483" s="63"/>
      <c r="U483" s="63">
        <f>+Tabla1[[#This Row],[STOCK    FISICO ENERO 2021]]-Tabla1[[#This Row],[REQUISICIONES FEBRERO 2021]]</f>
        <v>22</v>
      </c>
      <c r="V483" s="63">
        <f>+Tabla1[[#This Row],[STOCK  FEBRERO 2021]]-Tabla1[[#This Row],[REQUISICIONES MARZO 2021]]+Tabla1[[#This Row],[ENTRADAS MARZO 2021]]</f>
        <v>22</v>
      </c>
      <c r="W483" s="63">
        <f>+Tabla1[[#This Row],[STOCK MARZO 2021]]-Tabla1[[#This Row],[REQUISICIONES ABRIL 2021]]+Tabla1[[#This Row],[ENTRADAS ABRIL 2021]]</f>
        <v>22</v>
      </c>
      <c r="X483" s="63">
        <f>+Tabla1[[#This Row],[STOCK ABRIL 2021]]-Tabla1[[#This Row],[REQUISICIONES MAYO 2021]]+Tabla1[[#This Row],[ENTRADAS MAYO 2021]]</f>
        <v>22</v>
      </c>
      <c r="Y483" s="63">
        <f>+Tabla1[[#This Row],[STOCK MAYO 2021]]-Tabla1[[#This Row],[REQUISICIONES JUNIO 2021]]+Tabla1[[#This Row],[ENTRADAS JUNIO 2021]]</f>
        <v>22</v>
      </c>
      <c r="Z483" s="73" t="s">
        <v>12</v>
      </c>
      <c r="AA483" s="34">
        <v>318</v>
      </c>
      <c r="AB483" s="35">
        <f t="shared" si="16"/>
        <v>375.24</v>
      </c>
      <c r="AC483" s="93">
        <f>Tabla1[[#This Row],[STOCK JUNIO ]]*Tabla1[[#This Row],[COSTO UNITARIO SIN ITBIS]]</f>
        <v>6996</v>
      </c>
    </row>
    <row r="484" spans="1:29" s="8" customFormat="1" x14ac:dyDescent="0.25">
      <c r="A484" s="265">
        <v>28</v>
      </c>
      <c r="B484" s="74">
        <v>43089</v>
      </c>
      <c r="C484" s="13" t="s">
        <v>11</v>
      </c>
      <c r="D484" s="74">
        <v>43089</v>
      </c>
      <c r="E484" s="145"/>
      <c r="F484" s="13">
        <v>1704</v>
      </c>
      <c r="G484" s="75" t="s">
        <v>336</v>
      </c>
      <c r="H484" s="72">
        <v>2</v>
      </c>
      <c r="I484" s="72"/>
      <c r="J484" s="72">
        <f>+'INVENTARIO ABRIL-JUNIO 2021'!$H484-'INVENTARIO ABRIL-JUNIO 2021'!$I484</f>
        <v>2</v>
      </c>
      <c r="K484" s="72"/>
      <c r="L484" s="72"/>
      <c r="M484" s="72"/>
      <c r="N484" s="72"/>
      <c r="O484" s="296"/>
      <c r="P484" s="72">
        <v>1</v>
      </c>
      <c r="Q484" s="72"/>
      <c r="R484" s="72"/>
      <c r="S484" s="72"/>
      <c r="T484" s="72"/>
      <c r="U484" s="72">
        <f>+Tabla1[[#This Row],[STOCK    FISICO ENERO 2021]]-Tabla1[[#This Row],[REQUISICIONES FEBRERO 2021]]</f>
        <v>1</v>
      </c>
      <c r="V484" s="72">
        <f>+Tabla1[[#This Row],[STOCK  FEBRERO 2021]]-Tabla1[[#This Row],[REQUISICIONES MARZO 2021]]+Tabla1[[#This Row],[ENTRADAS MARZO 2021]]</f>
        <v>1</v>
      </c>
      <c r="W484" s="72">
        <f>+Tabla1[[#This Row],[STOCK MARZO 2021]]-Tabla1[[#This Row],[REQUISICIONES ABRIL 2021]]+Tabla1[[#This Row],[ENTRADAS ABRIL 2021]]</f>
        <v>1</v>
      </c>
      <c r="X484" s="72">
        <f>+Tabla1[[#This Row],[STOCK ABRIL 2021]]-Tabla1[[#This Row],[REQUISICIONES MAYO 2021]]+Tabla1[[#This Row],[ENTRADAS MAYO 2021]]</f>
        <v>1</v>
      </c>
      <c r="Y484" s="72">
        <f>+Tabla1[[#This Row],[STOCK MAYO 2021]]-Tabla1[[#This Row],[REQUISICIONES JUNIO 2021]]+Tabla1[[#This Row],[ENTRADAS JUNIO 2021]]</f>
        <v>1</v>
      </c>
      <c r="Z484" s="73" t="s">
        <v>12</v>
      </c>
      <c r="AA484" s="76">
        <v>142.37</v>
      </c>
      <c r="AB484" s="35">
        <f t="shared" si="16"/>
        <v>167.9966</v>
      </c>
      <c r="AC484" s="93">
        <f>Tabla1[[#This Row],[STOCK JUNIO ]]*Tabla1[[#This Row],[COSTO UNITARIO SIN ITBIS]]</f>
        <v>142.37</v>
      </c>
    </row>
    <row r="485" spans="1:29" s="8" customFormat="1" x14ac:dyDescent="0.25">
      <c r="A485" s="265">
        <v>29</v>
      </c>
      <c r="B485" s="31">
        <v>43089</v>
      </c>
      <c r="C485" s="28" t="s">
        <v>11</v>
      </c>
      <c r="D485" s="31">
        <v>43089</v>
      </c>
      <c r="E485" s="137"/>
      <c r="F485" s="28">
        <v>1302</v>
      </c>
      <c r="G485" s="32" t="s">
        <v>337</v>
      </c>
      <c r="H485" s="63">
        <v>0</v>
      </c>
      <c r="I485" s="63"/>
      <c r="J485" s="63">
        <f>+'INVENTARIO ABRIL-JUNIO 2021'!$H485-'INVENTARIO ABRIL-JUNIO 2021'!$I485</f>
        <v>0</v>
      </c>
      <c r="K485" s="63"/>
      <c r="L485" s="63"/>
      <c r="M485" s="63"/>
      <c r="N485" s="63"/>
      <c r="O485" s="125"/>
      <c r="P485" s="63"/>
      <c r="Q485" s="63"/>
      <c r="R485" s="63"/>
      <c r="S485" s="63"/>
      <c r="T485" s="63"/>
      <c r="U485" s="63">
        <f>+Tabla1[[#This Row],[STOCK    FISICO ENERO 2021]]-Tabla1[[#This Row],[REQUISICIONES FEBRERO 2021]]</f>
        <v>0</v>
      </c>
      <c r="V485" s="63">
        <f>+Tabla1[[#This Row],[STOCK  FEBRERO 2021]]-Tabla1[[#This Row],[REQUISICIONES MARZO 2021]]+Tabla1[[#This Row],[ENTRADAS MARZO 2021]]</f>
        <v>0</v>
      </c>
      <c r="W485" s="63">
        <f>+Tabla1[[#This Row],[STOCK MARZO 2021]]-Tabla1[[#This Row],[REQUISICIONES ABRIL 2021]]+Tabla1[[#This Row],[ENTRADAS ABRIL 2021]]</f>
        <v>0</v>
      </c>
      <c r="X485" s="63">
        <f>+Tabla1[[#This Row],[STOCK ABRIL 2021]]-Tabla1[[#This Row],[REQUISICIONES MAYO 2021]]+Tabla1[[#This Row],[ENTRADAS MAYO 2021]]</f>
        <v>0</v>
      </c>
      <c r="Y485" s="63">
        <f>+Tabla1[[#This Row],[STOCK MAYO 2021]]-Tabla1[[#This Row],[REQUISICIONES JUNIO 2021]]+Tabla1[[#This Row],[ENTRADAS JUNIO 2021]]</f>
        <v>0</v>
      </c>
      <c r="Z485" s="73" t="s">
        <v>12</v>
      </c>
      <c r="AA485" s="34">
        <v>0</v>
      </c>
      <c r="AB485" s="35">
        <f t="shared" si="16"/>
        <v>0</v>
      </c>
      <c r="AC485" s="93">
        <f>Tabla1[[#This Row],[STOCK JUNIO ]]*Tabla1[[#This Row],[COSTO UNITARIO SIN ITBIS]]</f>
        <v>0</v>
      </c>
    </row>
    <row r="486" spans="1:29" s="8" customFormat="1" x14ac:dyDescent="0.25">
      <c r="A486" s="265">
        <v>30</v>
      </c>
      <c r="B486" s="74">
        <v>44027</v>
      </c>
      <c r="C486" s="13" t="s">
        <v>11</v>
      </c>
      <c r="D486" s="74">
        <v>44027</v>
      </c>
      <c r="E486" s="145"/>
      <c r="F486" s="13">
        <v>1329</v>
      </c>
      <c r="G486" s="75" t="s">
        <v>338</v>
      </c>
      <c r="H486" s="72">
        <v>0</v>
      </c>
      <c r="I486" s="72"/>
      <c r="J486" s="72">
        <f>+'INVENTARIO ABRIL-JUNIO 2021'!$H486-'INVENTARIO ABRIL-JUNIO 2021'!$I486</f>
        <v>0</v>
      </c>
      <c r="K486" s="72"/>
      <c r="L486" s="72"/>
      <c r="M486" s="72"/>
      <c r="N486" s="72"/>
      <c r="O486" s="296"/>
      <c r="P486" s="72"/>
      <c r="Q486" s="72"/>
      <c r="R486" s="72"/>
      <c r="S486" s="72"/>
      <c r="T486" s="72"/>
      <c r="U486" s="72">
        <f>+Tabla1[[#This Row],[STOCK    FISICO ENERO 2021]]-Tabla1[[#This Row],[REQUISICIONES FEBRERO 2021]]</f>
        <v>0</v>
      </c>
      <c r="V486" s="72">
        <f>+Tabla1[[#This Row],[STOCK  FEBRERO 2021]]-Tabla1[[#This Row],[REQUISICIONES MARZO 2021]]+Tabla1[[#This Row],[ENTRADAS MARZO 2021]]</f>
        <v>0</v>
      </c>
      <c r="W486" s="72">
        <f>+Tabla1[[#This Row],[STOCK MARZO 2021]]-Tabla1[[#This Row],[REQUISICIONES ABRIL 2021]]+Tabla1[[#This Row],[ENTRADAS ABRIL 2021]]</f>
        <v>0</v>
      </c>
      <c r="X486" s="72">
        <f>+Tabla1[[#This Row],[STOCK ABRIL 2021]]-Tabla1[[#This Row],[REQUISICIONES MAYO 2021]]+Tabla1[[#This Row],[ENTRADAS MAYO 2021]]</f>
        <v>0</v>
      </c>
      <c r="Y486" s="72">
        <f>+Tabla1[[#This Row],[STOCK MAYO 2021]]-Tabla1[[#This Row],[REQUISICIONES JUNIO 2021]]+Tabla1[[#This Row],[ENTRADAS JUNIO 2021]]</f>
        <v>0</v>
      </c>
      <c r="Z486" s="73" t="s">
        <v>12</v>
      </c>
      <c r="AA486" s="76">
        <v>0</v>
      </c>
      <c r="AB486" s="35">
        <f t="shared" si="16"/>
        <v>0</v>
      </c>
      <c r="AC486" s="93">
        <f>Tabla1[[#This Row],[STOCK JUNIO ]]*Tabla1[[#This Row],[COSTO UNITARIO SIN ITBIS]]</f>
        <v>0</v>
      </c>
    </row>
    <row r="487" spans="1:29" s="8" customFormat="1" x14ac:dyDescent="0.25">
      <c r="A487" s="265">
        <v>31</v>
      </c>
      <c r="B487" s="31">
        <v>44168</v>
      </c>
      <c r="C487" s="28" t="s">
        <v>11</v>
      </c>
      <c r="D487" s="31">
        <v>44154</v>
      </c>
      <c r="E487" s="137"/>
      <c r="F487" s="13"/>
      <c r="G487" s="75" t="s">
        <v>339</v>
      </c>
      <c r="H487" s="72">
        <v>2</v>
      </c>
      <c r="I487" s="72"/>
      <c r="J487" s="72">
        <f>+'INVENTARIO ABRIL-JUNIO 2021'!$H487-'INVENTARIO ABRIL-JUNIO 2021'!$I487</f>
        <v>2</v>
      </c>
      <c r="K487" s="72"/>
      <c r="L487" s="72"/>
      <c r="M487" s="72"/>
      <c r="N487" s="72"/>
      <c r="O487" s="296"/>
      <c r="P487" s="72">
        <v>1</v>
      </c>
      <c r="Q487" s="72"/>
      <c r="R487" s="72"/>
      <c r="S487" s="72"/>
      <c r="T487" s="72"/>
      <c r="U487" s="72">
        <f>+Tabla1[[#This Row],[STOCK    FISICO ENERO 2021]]-Tabla1[[#This Row],[REQUISICIONES FEBRERO 2021]]</f>
        <v>1</v>
      </c>
      <c r="V487" s="72">
        <f>+Tabla1[[#This Row],[STOCK  FEBRERO 2021]]-Tabla1[[#This Row],[REQUISICIONES MARZO 2021]]+Tabla1[[#This Row],[ENTRADAS MARZO 2021]]</f>
        <v>1</v>
      </c>
      <c r="W487" s="72">
        <f>+Tabla1[[#This Row],[STOCK MARZO 2021]]-Tabla1[[#This Row],[REQUISICIONES ABRIL 2021]]+Tabla1[[#This Row],[ENTRADAS ABRIL 2021]]</f>
        <v>1</v>
      </c>
      <c r="X487" s="72">
        <f>+Tabla1[[#This Row],[STOCK ABRIL 2021]]-Tabla1[[#This Row],[REQUISICIONES MAYO 2021]]+Tabla1[[#This Row],[ENTRADAS MAYO 2021]]</f>
        <v>1</v>
      </c>
      <c r="Y487" s="72">
        <f>+Tabla1[[#This Row],[STOCK MAYO 2021]]-Tabla1[[#This Row],[REQUISICIONES JUNIO 2021]]+Tabla1[[#This Row],[ENTRADAS JUNIO 2021]]</f>
        <v>1</v>
      </c>
      <c r="Z487" s="73" t="s">
        <v>12</v>
      </c>
      <c r="AA487" s="76">
        <v>354</v>
      </c>
      <c r="AB487" s="35">
        <f t="shared" si="16"/>
        <v>417.72</v>
      </c>
      <c r="AC487" s="93">
        <f>Tabla1[[#This Row],[STOCK JUNIO ]]*Tabla1[[#This Row],[COSTO UNITARIO SIN ITBIS]]</f>
        <v>354</v>
      </c>
    </row>
    <row r="488" spans="1:29" s="8" customFormat="1" x14ac:dyDescent="0.25">
      <c r="A488" s="265">
        <v>32</v>
      </c>
      <c r="B488" s="74">
        <v>44110</v>
      </c>
      <c r="C488" s="13" t="s">
        <v>11</v>
      </c>
      <c r="D488" s="74">
        <v>44110</v>
      </c>
      <c r="E488" s="145"/>
      <c r="F488" s="28">
        <v>1067</v>
      </c>
      <c r="G488" s="32" t="s">
        <v>340</v>
      </c>
      <c r="H488" s="63">
        <v>13</v>
      </c>
      <c r="I488" s="63"/>
      <c r="J488" s="63">
        <f>+'INVENTARIO ABRIL-JUNIO 2021'!$H488-'INVENTARIO ABRIL-JUNIO 2021'!$I488</f>
        <v>13</v>
      </c>
      <c r="K488" s="63"/>
      <c r="L488" s="63"/>
      <c r="M488" s="63"/>
      <c r="N488" s="63"/>
      <c r="O488" s="125"/>
      <c r="P488" s="63"/>
      <c r="Q488" s="63">
        <f>2+4</f>
        <v>6</v>
      </c>
      <c r="R488" s="63"/>
      <c r="S488" s="63">
        <v>1</v>
      </c>
      <c r="T488" s="63">
        <v>3</v>
      </c>
      <c r="U488" s="63">
        <f>+Tabla1[[#This Row],[STOCK    FISICO ENERO 2021]]-Tabla1[[#This Row],[REQUISICIONES FEBRERO 2021]]</f>
        <v>13</v>
      </c>
      <c r="V488" s="63">
        <f>+Tabla1[[#This Row],[STOCK  FEBRERO 2021]]-Tabla1[[#This Row],[REQUISICIONES MARZO 2021]]+Tabla1[[#This Row],[ENTRADAS MARZO 2021]]</f>
        <v>7</v>
      </c>
      <c r="W488" s="63">
        <f>+Tabla1[[#This Row],[STOCK MARZO 2021]]-Tabla1[[#This Row],[REQUISICIONES ABRIL 2021]]+Tabla1[[#This Row],[ENTRADAS ABRIL 2021]]</f>
        <v>7</v>
      </c>
      <c r="X488" s="63">
        <f>+Tabla1[[#This Row],[STOCK ABRIL 2021]]-Tabla1[[#This Row],[REQUISICIONES MAYO 2021]]+Tabla1[[#This Row],[ENTRADAS MAYO 2021]]</f>
        <v>6</v>
      </c>
      <c r="Y488" s="63">
        <f>+Tabla1[[#This Row],[STOCK MAYO 2021]]-Tabla1[[#This Row],[REQUISICIONES JUNIO 2021]]+Tabla1[[#This Row],[ENTRADAS JUNIO 2021]]</f>
        <v>3</v>
      </c>
      <c r="Z488" s="30" t="s">
        <v>12</v>
      </c>
      <c r="AA488" s="34">
        <v>17.59</v>
      </c>
      <c r="AB488" s="35">
        <f t="shared" si="16"/>
        <v>20.7562</v>
      </c>
      <c r="AC488" s="93">
        <f>Tabla1[[#This Row],[STOCK JUNIO ]]*Tabla1[[#This Row],[COSTO UNITARIO SIN ITBIS]]</f>
        <v>52.769999999999996</v>
      </c>
    </row>
    <row r="489" spans="1:29" s="8" customFormat="1" x14ac:dyDescent="0.25">
      <c r="A489" s="265">
        <v>33</v>
      </c>
      <c r="B489" s="74">
        <v>44027</v>
      </c>
      <c r="C489" s="13" t="s">
        <v>11</v>
      </c>
      <c r="D489" s="74">
        <v>44027</v>
      </c>
      <c r="E489" s="145"/>
      <c r="F489" s="28">
        <v>1505</v>
      </c>
      <c r="G489" s="32" t="s">
        <v>341</v>
      </c>
      <c r="H489" s="63">
        <v>16</v>
      </c>
      <c r="I489" s="63"/>
      <c r="J489" s="63">
        <f>+'INVENTARIO ABRIL-JUNIO 2021'!$H489-'INVENTARIO ABRIL-JUNIO 2021'!$I489</f>
        <v>16</v>
      </c>
      <c r="K489" s="63"/>
      <c r="L489" s="63"/>
      <c r="M489" s="63"/>
      <c r="N489" s="63"/>
      <c r="O489" s="125"/>
      <c r="P489" s="63"/>
      <c r="Q489" s="63"/>
      <c r="R489" s="63"/>
      <c r="S489" s="63"/>
      <c r="T489" s="63"/>
      <c r="U489" s="63">
        <f>+Tabla1[[#This Row],[STOCK    FISICO ENERO 2021]]-Tabla1[[#This Row],[REQUISICIONES FEBRERO 2021]]</f>
        <v>16</v>
      </c>
      <c r="V489" s="63">
        <f>+Tabla1[[#This Row],[STOCK  FEBRERO 2021]]-Tabla1[[#This Row],[REQUISICIONES MARZO 2021]]+Tabla1[[#This Row],[ENTRADAS MARZO 2021]]</f>
        <v>16</v>
      </c>
      <c r="W489" s="63">
        <f>+Tabla1[[#This Row],[STOCK MARZO 2021]]-Tabla1[[#This Row],[REQUISICIONES ABRIL 2021]]+Tabla1[[#This Row],[ENTRADAS ABRIL 2021]]</f>
        <v>16</v>
      </c>
      <c r="X489" s="63">
        <f>+Tabla1[[#This Row],[STOCK ABRIL 2021]]-Tabla1[[#This Row],[REQUISICIONES MAYO 2021]]+Tabla1[[#This Row],[ENTRADAS MAYO 2021]]</f>
        <v>16</v>
      </c>
      <c r="Y489" s="63">
        <f>+Tabla1[[#This Row],[STOCK MAYO 2021]]-Tabla1[[#This Row],[REQUISICIONES JUNIO 2021]]+Tabla1[[#This Row],[ENTRADAS JUNIO 2021]]</f>
        <v>16</v>
      </c>
      <c r="Z489" s="30" t="s">
        <v>12</v>
      </c>
      <c r="AA489" s="34">
        <v>11</v>
      </c>
      <c r="AB489" s="35">
        <f t="shared" ref="AB489:AB520" si="17">AA489*0.18+AA489</f>
        <v>12.98</v>
      </c>
      <c r="AC489" s="93">
        <f>Tabla1[[#This Row],[STOCK JUNIO ]]*Tabla1[[#This Row],[COSTO UNITARIO SIN ITBIS]]</f>
        <v>176</v>
      </c>
    </row>
    <row r="490" spans="1:29" s="8" customFormat="1" x14ac:dyDescent="0.25">
      <c r="A490" s="265">
        <v>34</v>
      </c>
      <c r="B490" s="31">
        <v>44027</v>
      </c>
      <c r="C490" s="28" t="s">
        <v>11</v>
      </c>
      <c r="D490" s="31">
        <v>44027</v>
      </c>
      <c r="E490" s="137"/>
      <c r="F490" s="13">
        <v>1304</v>
      </c>
      <c r="G490" s="75" t="s">
        <v>342</v>
      </c>
      <c r="H490" s="72">
        <v>0</v>
      </c>
      <c r="I490" s="72"/>
      <c r="J490" s="72">
        <f>+'INVENTARIO ABRIL-JUNIO 2021'!$H490-'INVENTARIO ABRIL-JUNIO 2021'!$I490</f>
        <v>0</v>
      </c>
      <c r="K490" s="72"/>
      <c r="L490" s="72"/>
      <c r="M490" s="72"/>
      <c r="N490" s="72"/>
      <c r="O490" s="296"/>
      <c r="P490" s="72"/>
      <c r="Q490" s="72"/>
      <c r="R490" s="72"/>
      <c r="S490" s="72"/>
      <c r="T490" s="72"/>
      <c r="U490" s="72">
        <f>+Tabla1[[#This Row],[STOCK    FISICO ENERO 2021]]-Tabla1[[#This Row],[REQUISICIONES FEBRERO 2021]]</f>
        <v>0</v>
      </c>
      <c r="V490" s="72">
        <f>+Tabla1[[#This Row],[STOCK  FEBRERO 2021]]-Tabla1[[#This Row],[REQUISICIONES MARZO 2021]]+Tabla1[[#This Row],[ENTRADAS MARZO 2021]]</f>
        <v>0</v>
      </c>
      <c r="W490" s="72">
        <f>+Tabla1[[#This Row],[STOCK MARZO 2021]]-Tabla1[[#This Row],[REQUISICIONES ABRIL 2021]]+Tabla1[[#This Row],[ENTRADAS ABRIL 2021]]</f>
        <v>0</v>
      </c>
      <c r="X490" s="72">
        <f>+Tabla1[[#This Row],[STOCK ABRIL 2021]]-Tabla1[[#This Row],[REQUISICIONES MAYO 2021]]+Tabla1[[#This Row],[ENTRADAS MAYO 2021]]</f>
        <v>0</v>
      </c>
      <c r="Y490" s="72">
        <f>+Tabla1[[#This Row],[STOCK MAYO 2021]]-Tabla1[[#This Row],[REQUISICIONES JUNIO 2021]]+Tabla1[[#This Row],[ENTRADAS JUNIO 2021]]</f>
        <v>0</v>
      </c>
      <c r="Z490" s="73" t="s">
        <v>12</v>
      </c>
      <c r="AA490" s="76">
        <v>0</v>
      </c>
      <c r="AB490" s="35">
        <f t="shared" si="17"/>
        <v>0</v>
      </c>
      <c r="AC490" s="93">
        <f>Tabla1[[#This Row],[STOCK JUNIO ]]*Tabla1[[#This Row],[COSTO UNITARIO SIN ITBIS]]</f>
        <v>0</v>
      </c>
    </row>
    <row r="491" spans="1:29" s="8" customFormat="1" x14ac:dyDescent="0.25">
      <c r="A491" s="265">
        <v>35</v>
      </c>
      <c r="B491" s="74">
        <v>44027</v>
      </c>
      <c r="C491" s="13" t="s">
        <v>11</v>
      </c>
      <c r="D491" s="74">
        <v>44027</v>
      </c>
      <c r="E491" s="145"/>
      <c r="F491" s="28">
        <v>1068</v>
      </c>
      <c r="G491" s="32" t="s">
        <v>343</v>
      </c>
      <c r="H491" s="63">
        <v>0</v>
      </c>
      <c r="I491" s="63"/>
      <c r="J491" s="63">
        <f>+'INVENTARIO ABRIL-JUNIO 2021'!$H491-'INVENTARIO ABRIL-JUNIO 2021'!$I491</f>
        <v>0</v>
      </c>
      <c r="K491" s="63"/>
      <c r="L491" s="63"/>
      <c r="M491" s="63"/>
      <c r="N491" s="63"/>
      <c r="O491" s="125"/>
      <c r="P491" s="63"/>
      <c r="Q491" s="63"/>
      <c r="R491" s="63"/>
      <c r="S491" s="63"/>
      <c r="T491" s="63"/>
      <c r="U491" s="63">
        <f>+Tabla1[[#This Row],[STOCK    FISICO ENERO 2021]]-Tabla1[[#This Row],[REQUISICIONES FEBRERO 2021]]</f>
        <v>0</v>
      </c>
      <c r="V491" s="63">
        <f>+Tabla1[[#This Row],[STOCK  FEBRERO 2021]]-Tabla1[[#This Row],[REQUISICIONES MARZO 2021]]+Tabla1[[#This Row],[ENTRADAS MARZO 2021]]</f>
        <v>0</v>
      </c>
      <c r="W491" s="63">
        <f>+Tabla1[[#This Row],[STOCK MARZO 2021]]-Tabla1[[#This Row],[REQUISICIONES ABRIL 2021]]+Tabla1[[#This Row],[ENTRADAS ABRIL 2021]]</f>
        <v>0</v>
      </c>
      <c r="X491" s="63">
        <f>+Tabla1[[#This Row],[STOCK ABRIL 2021]]-Tabla1[[#This Row],[REQUISICIONES MAYO 2021]]+Tabla1[[#This Row],[ENTRADAS MAYO 2021]]</f>
        <v>0</v>
      </c>
      <c r="Y491" s="63">
        <f>+Tabla1[[#This Row],[STOCK MAYO 2021]]-Tabla1[[#This Row],[REQUISICIONES JUNIO 2021]]+Tabla1[[#This Row],[ENTRADAS JUNIO 2021]]</f>
        <v>0</v>
      </c>
      <c r="Z491" s="30" t="s">
        <v>12</v>
      </c>
      <c r="AA491" s="34">
        <v>62</v>
      </c>
      <c r="AB491" s="35">
        <f t="shared" si="17"/>
        <v>73.16</v>
      </c>
      <c r="AC491" s="93">
        <f>Tabla1[[#This Row],[STOCK JUNIO ]]*Tabla1[[#This Row],[COSTO UNITARIO SIN ITBIS]]</f>
        <v>0</v>
      </c>
    </row>
    <row r="492" spans="1:29" s="8" customFormat="1" x14ac:dyDescent="0.25">
      <c r="A492" s="265">
        <v>36</v>
      </c>
      <c r="B492" s="31">
        <v>43223</v>
      </c>
      <c r="C492" s="28" t="s">
        <v>11</v>
      </c>
      <c r="D492" s="31">
        <v>43223</v>
      </c>
      <c r="E492" s="137"/>
      <c r="F492" s="13">
        <v>1658</v>
      </c>
      <c r="G492" s="75" t="s">
        <v>881</v>
      </c>
      <c r="H492" s="72">
        <v>21</v>
      </c>
      <c r="I492" s="72"/>
      <c r="J492" s="72">
        <f>+'INVENTARIO ABRIL-JUNIO 2021'!$H492-'INVENTARIO ABRIL-JUNIO 2021'!$I492</f>
        <v>21</v>
      </c>
      <c r="K492" s="72"/>
      <c r="L492" s="72"/>
      <c r="M492" s="72"/>
      <c r="N492" s="72"/>
      <c r="O492" s="296"/>
      <c r="P492" s="72"/>
      <c r="Q492" s="72"/>
      <c r="R492" s="72"/>
      <c r="S492" s="72">
        <v>1</v>
      </c>
      <c r="T492" s="72"/>
      <c r="U492" s="72">
        <f>+Tabla1[[#This Row],[STOCK    FISICO ENERO 2021]]-Tabla1[[#This Row],[REQUISICIONES FEBRERO 2021]]</f>
        <v>21</v>
      </c>
      <c r="V492" s="72">
        <f>+Tabla1[[#This Row],[STOCK  FEBRERO 2021]]-Tabla1[[#This Row],[REQUISICIONES MARZO 2021]]+Tabla1[[#This Row],[ENTRADAS MARZO 2021]]</f>
        <v>21</v>
      </c>
      <c r="W492" s="72">
        <f>+Tabla1[[#This Row],[STOCK MARZO 2021]]-Tabla1[[#This Row],[REQUISICIONES ABRIL 2021]]+Tabla1[[#This Row],[ENTRADAS ABRIL 2021]]</f>
        <v>21</v>
      </c>
      <c r="X492" s="72">
        <f>+Tabla1[[#This Row],[STOCK ABRIL 2021]]-Tabla1[[#This Row],[REQUISICIONES MAYO 2021]]+Tabla1[[#This Row],[ENTRADAS MAYO 2021]]</f>
        <v>20</v>
      </c>
      <c r="Y492" s="72">
        <f>+Tabla1[[#This Row],[STOCK MAYO 2021]]-Tabla1[[#This Row],[REQUISICIONES JUNIO 2021]]+Tabla1[[#This Row],[ENTRADAS JUNIO 2021]]</f>
        <v>20</v>
      </c>
      <c r="Z492" s="73" t="s">
        <v>12</v>
      </c>
      <c r="AA492" s="76">
        <v>16.27</v>
      </c>
      <c r="AB492" s="35">
        <f t="shared" si="17"/>
        <v>19.198599999999999</v>
      </c>
      <c r="AC492" s="93">
        <f>Tabla1[[#This Row],[STOCK JUNIO ]]*Tabla1[[#This Row],[COSTO UNITARIO SIN ITBIS]]</f>
        <v>325.39999999999998</v>
      </c>
    </row>
    <row r="493" spans="1:29" s="8" customFormat="1" x14ac:dyDescent="0.25">
      <c r="A493" s="265">
        <v>37</v>
      </c>
      <c r="B493" s="74">
        <v>43223</v>
      </c>
      <c r="C493" s="13" t="s">
        <v>11</v>
      </c>
      <c r="D493" s="74">
        <v>43223</v>
      </c>
      <c r="E493" s="145"/>
      <c r="F493" s="28">
        <v>1656</v>
      </c>
      <c r="G493" s="32" t="s">
        <v>344</v>
      </c>
      <c r="H493" s="63">
        <v>44</v>
      </c>
      <c r="I493" s="63"/>
      <c r="J493" s="63">
        <f>+'INVENTARIO ABRIL-JUNIO 2021'!$H493-'INVENTARIO ABRIL-JUNIO 2021'!$I493</f>
        <v>44</v>
      </c>
      <c r="K493" s="63"/>
      <c r="L493" s="63"/>
      <c r="M493" s="63"/>
      <c r="N493" s="63"/>
      <c r="O493" s="125"/>
      <c r="P493" s="63"/>
      <c r="Q493" s="63">
        <f>2+2+2+1</f>
        <v>7</v>
      </c>
      <c r="R493" s="63">
        <v>4</v>
      </c>
      <c r="S493" s="63"/>
      <c r="T493" s="63">
        <v>6</v>
      </c>
      <c r="U493" s="63">
        <f>+Tabla1[[#This Row],[STOCK    FISICO ENERO 2021]]-Tabla1[[#This Row],[REQUISICIONES FEBRERO 2021]]</f>
        <v>44</v>
      </c>
      <c r="V493" s="63">
        <f>+Tabla1[[#This Row],[STOCK  FEBRERO 2021]]-Tabla1[[#This Row],[REQUISICIONES MARZO 2021]]+Tabla1[[#This Row],[ENTRADAS MARZO 2021]]</f>
        <v>37</v>
      </c>
      <c r="W493" s="63">
        <f>+Tabla1[[#This Row],[STOCK MARZO 2021]]-Tabla1[[#This Row],[REQUISICIONES ABRIL 2021]]+Tabla1[[#This Row],[ENTRADAS ABRIL 2021]]</f>
        <v>33</v>
      </c>
      <c r="X493" s="63">
        <f>+Tabla1[[#This Row],[STOCK ABRIL 2021]]-Tabla1[[#This Row],[REQUISICIONES MAYO 2021]]+Tabla1[[#This Row],[ENTRADAS MAYO 2021]]</f>
        <v>33</v>
      </c>
      <c r="Y493" s="63">
        <f>+Tabla1[[#This Row],[STOCK MAYO 2021]]-Tabla1[[#This Row],[REQUISICIONES JUNIO 2021]]+Tabla1[[#This Row],[ENTRADAS JUNIO 2021]]</f>
        <v>27</v>
      </c>
      <c r="Z493" s="30" t="s">
        <v>12</v>
      </c>
      <c r="AA493" s="34">
        <v>6.55</v>
      </c>
      <c r="AB493" s="35">
        <f t="shared" si="17"/>
        <v>7.7289999999999992</v>
      </c>
      <c r="AC493" s="93">
        <f>Tabla1[[#This Row],[STOCK JUNIO ]]*Tabla1[[#This Row],[COSTO UNITARIO SIN ITBIS]]</f>
        <v>176.85</v>
      </c>
    </row>
    <row r="494" spans="1:29" s="8" customFormat="1" x14ac:dyDescent="0.25">
      <c r="A494" s="265">
        <v>38</v>
      </c>
      <c r="B494" s="31">
        <v>43089</v>
      </c>
      <c r="C494" s="28" t="s">
        <v>11</v>
      </c>
      <c r="D494" s="31">
        <v>43089</v>
      </c>
      <c r="E494" s="137"/>
      <c r="F494" s="13">
        <v>1662</v>
      </c>
      <c r="G494" s="75" t="s">
        <v>345</v>
      </c>
      <c r="H494" s="72">
        <v>1</v>
      </c>
      <c r="I494" s="72"/>
      <c r="J494" s="72">
        <f>+'INVENTARIO ABRIL-JUNIO 2021'!$H494-'INVENTARIO ABRIL-JUNIO 2021'!$I494</f>
        <v>1</v>
      </c>
      <c r="K494" s="72"/>
      <c r="L494" s="72"/>
      <c r="M494" s="72"/>
      <c r="N494" s="72"/>
      <c r="O494" s="296"/>
      <c r="P494" s="72"/>
      <c r="Q494" s="72"/>
      <c r="R494" s="72"/>
      <c r="S494" s="72"/>
      <c r="T494" s="72"/>
      <c r="U494" s="72">
        <f>+Tabla1[[#This Row],[STOCK    FISICO ENERO 2021]]-Tabla1[[#This Row],[REQUISICIONES FEBRERO 2021]]</f>
        <v>1</v>
      </c>
      <c r="V494" s="72">
        <f>+Tabla1[[#This Row],[STOCK  FEBRERO 2021]]-Tabla1[[#This Row],[REQUISICIONES MARZO 2021]]+Tabla1[[#This Row],[ENTRADAS MARZO 2021]]</f>
        <v>1</v>
      </c>
      <c r="W494" s="72">
        <f>+Tabla1[[#This Row],[STOCK MARZO 2021]]-Tabla1[[#This Row],[REQUISICIONES ABRIL 2021]]+Tabla1[[#This Row],[ENTRADAS ABRIL 2021]]</f>
        <v>1</v>
      </c>
      <c r="X494" s="72">
        <f>+Tabla1[[#This Row],[STOCK ABRIL 2021]]-Tabla1[[#This Row],[REQUISICIONES MAYO 2021]]+Tabla1[[#This Row],[ENTRADAS MAYO 2021]]</f>
        <v>1</v>
      </c>
      <c r="Y494" s="72">
        <f>+Tabla1[[#This Row],[STOCK MAYO 2021]]-Tabla1[[#This Row],[REQUISICIONES JUNIO 2021]]+Tabla1[[#This Row],[ENTRADAS JUNIO 2021]]</f>
        <v>1</v>
      </c>
      <c r="Z494" s="73" t="s">
        <v>12</v>
      </c>
      <c r="AA494" s="76">
        <v>20.34</v>
      </c>
      <c r="AB494" s="35">
        <f t="shared" si="17"/>
        <v>24.001200000000001</v>
      </c>
      <c r="AC494" s="93">
        <f>Tabla1[[#This Row],[STOCK JUNIO ]]*Tabla1[[#This Row],[COSTO UNITARIO SIN ITBIS]]</f>
        <v>20.34</v>
      </c>
    </row>
    <row r="495" spans="1:29" s="8" customFormat="1" x14ac:dyDescent="0.25">
      <c r="A495" s="265">
        <v>39</v>
      </c>
      <c r="B495" s="31">
        <v>43664</v>
      </c>
      <c r="C495" s="28" t="s">
        <v>11</v>
      </c>
      <c r="D495" s="31">
        <v>43767</v>
      </c>
      <c r="E495" s="137"/>
      <c r="F495" s="28">
        <v>1661</v>
      </c>
      <c r="G495" s="32" t="s">
        <v>346</v>
      </c>
      <c r="H495" s="63">
        <v>25</v>
      </c>
      <c r="I495" s="63"/>
      <c r="J495" s="63">
        <f>+'INVENTARIO ABRIL-JUNIO 2021'!$H495-'INVENTARIO ABRIL-JUNIO 2021'!$I495</f>
        <v>25</v>
      </c>
      <c r="K495" s="63"/>
      <c r="L495" s="63"/>
      <c r="M495" s="63"/>
      <c r="N495" s="63"/>
      <c r="O495" s="125"/>
      <c r="P495" s="63"/>
      <c r="Q495" s="63"/>
      <c r="R495" s="63"/>
      <c r="S495" s="63"/>
      <c r="T495" s="63"/>
      <c r="U495" s="63">
        <f>+Tabla1[[#This Row],[STOCK    FISICO ENERO 2021]]-Tabla1[[#This Row],[REQUISICIONES FEBRERO 2021]]</f>
        <v>25</v>
      </c>
      <c r="V495" s="63">
        <f>+Tabla1[[#This Row],[STOCK  FEBRERO 2021]]-Tabla1[[#This Row],[REQUISICIONES MARZO 2021]]+Tabla1[[#This Row],[ENTRADAS MARZO 2021]]</f>
        <v>25</v>
      </c>
      <c r="W495" s="63">
        <f>+Tabla1[[#This Row],[STOCK MARZO 2021]]-Tabla1[[#This Row],[REQUISICIONES ABRIL 2021]]+Tabla1[[#This Row],[ENTRADAS ABRIL 2021]]</f>
        <v>25</v>
      </c>
      <c r="X495" s="63">
        <f>+Tabla1[[#This Row],[STOCK ABRIL 2021]]-Tabla1[[#This Row],[REQUISICIONES MAYO 2021]]+Tabla1[[#This Row],[ENTRADAS MAYO 2021]]</f>
        <v>25</v>
      </c>
      <c r="Y495" s="63">
        <f>+Tabla1[[#This Row],[STOCK MAYO 2021]]-Tabla1[[#This Row],[REQUISICIONES JUNIO 2021]]+Tabla1[[#This Row],[ENTRADAS JUNIO 2021]]</f>
        <v>25</v>
      </c>
      <c r="Z495" s="30" t="s">
        <v>12</v>
      </c>
      <c r="AA495" s="34">
        <v>30.5</v>
      </c>
      <c r="AB495" s="35">
        <f t="shared" si="17"/>
        <v>35.99</v>
      </c>
      <c r="AC495" s="93">
        <f>Tabla1[[#This Row],[STOCK JUNIO ]]*Tabla1[[#This Row],[COSTO UNITARIO SIN ITBIS]]</f>
        <v>762.5</v>
      </c>
    </row>
    <row r="496" spans="1:29" s="8" customFormat="1" x14ac:dyDescent="0.25">
      <c r="A496" s="265">
        <v>40</v>
      </c>
      <c r="B496" s="74">
        <v>43223</v>
      </c>
      <c r="C496" s="13" t="s">
        <v>11</v>
      </c>
      <c r="D496" s="74">
        <v>43223</v>
      </c>
      <c r="E496" s="145"/>
      <c r="F496" s="13">
        <v>1659</v>
      </c>
      <c r="G496" s="75" t="s">
        <v>347</v>
      </c>
      <c r="H496" s="72">
        <v>9</v>
      </c>
      <c r="I496" s="72"/>
      <c r="J496" s="72">
        <f>+'INVENTARIO ABRIL-JUNIO 2021'!$H496-'INVENTARIO ABRIL-JUNIO 2021'!$I496</f>
        <v>9</v>
      </c>
      <c r="K496" s="72"/>
      <c r="L496" s="72"/>
      <c r="M496" s="72"/>
      <c r="N496" s="72"/>
      <c r="O496" s="296"/>
      <c r="P496" s="72"/>
      <c r="Q496" s="72"/>
      <c r="R496" s="72"/>
      <c r="S496" s="72"/>
      <c r="T496" s="72"/>
      <c r="U496" s="72">
        <f>+Tabla1[[#This Row],[STOCK    FISICO ENERO 2021]]-Tabla1[[#This Row],[REQUISICIONES FEBRERO 2021]]</f>
        <v>9</v>
      </c>
      <c r="V496" s="72">
        <f>+Tabla1[[#This Row],[STOCK  FEBRERO 2021]]-Tabla1[[#This Row],[REQUISICIONES MARZO 2021]]+Tabla1[[#This Row],[ENTRADAS MARZO 2021]]</f>
        <v>9</v>
      </c>
      <c r="W496" s="72">
        <f>+Tabla1[[#This Row],[STOCK MARZO 2021]]-Tabla1[[#This Row],[REQUISICIONES ABRIL 2021]]+Tabla1[[#This Row],[ENTRADAS ABRIL 2021]]</f>
        <v>9</v>
      </c>
      <c r="X496" s="72">
        <f>+Tabla1[[#This Row],[STOCK ABRIL 2021]]-Tabla1[[#This Row],[REQUISICIONES MAYO 2021]]+Tabla1[[#This Row],[ENTRADAS MAYO 2021]]</f>
        <v>9</v>
      </c>
      <c r="Y496" s="72">
        <f>+Tabla1[[#This Row],[STOCK MAYO 2021]]-Tabla1[[#This Row],[REQUISICIONES JUNIO 2021]]+Tabla1[[#This Row],[ENTRADAS JUNIO 2021]]</f>
        <v>9</v>
      </c>
      <c r="Z496" s="73" t="s">
        <v>12</v>
      </c>
      <c r="AA496" s="76">
        <v>79.319999999999993</v>
      </c>
      <c r="AB496" s="35">
        <f t="shared" si="17"/>
        <v>93.597599999999986</v>
      </c>
      <c r="AC496" s="93">
        <f>Tabla1[[#This Row],[STOCK JUNIO ]]*Tabla1[[#This Row],[COSTO UNITARIO SIN ITBIS]]</f>
        <v>713.87999999999988</v>
      </c>
    </row>
    <row r="497" spans="1:29" s="8" customFormat="1" x14ac:dyDescent="0.25">
      <c r="A497" s="265">
        <v>41</v>
      </c>
      <c r="B497" s="31">
        <v>43089</v>
      </c>
      <c r="C497" s="28" t="s">
        <v>11</v>
      </c>
      <c r="D497" s="31">
        <v>43089</v>
      </c>
      <c r="E497" s="137"/>
      <c r="F497" s="28">
        <v>1657</v>
      </c>
      <c r="G497" s="32" t="s">
        <v>348</v>
      </c>
      <c r="H497" s="63">
        <v>19</v>
      </c>
      <c r="I497" s="63"/>
      <c r="J497" s="63">
        <f>+'INVENTARIO ABRIL-JUNIO 2021'!$H497-'INVENTARIO ABRIL-JUNIO 2021'!$I497</f>
        <v>19</v>
      </c>
      <c r="K497" s="63"/>
      <c r="L497" s="63"/>
      <c r="M497" s="63"/>
      <c r="N497" s="63"/>
      <c r="O497" s="125"/>
      <c r="P497" s="63">
        <f>8+2+1</f>
        <v>11</v>
      </c>
      <c r="Q497" s="63">
        <v>1</v>
      </c>
      <c r="R497" s="63">
        <f>2+1+4</f>
        <v>7</v>
      </c>
      <c r="S497" s="63"/>
      <c r="T497" s="63"/>
      <c r="U497" s="63">
        <f>+Tabla1[[#This Row],[STOCK    FISICO ENERO 2021]]-Tabla1[[#This Row],[REQUISICIONES FEBRERO 2021]]</f>
        <v>8</v>
      </c>
      <c r="V497" s="63">
        <f>+Tabla1[[#This Row],[STOCK  FEBRERO 2021]]-Tabla1[[#This Row],[REQUISICIONES MARZO 2021]]+Tabla1[[#This Row],[ENTRADAS MARZO 2021]]</f>
        <v>7</v>
      </c>
      <c r="W497" s="63">
        <f>+Tabla1[[#This Row],[STOCK MARZO 2021]]-Tabla1[[#This Row],[REQUISICIONES ABRIL 2021]]+Tabla1[[#This Row],[ENTRADAS ABRIL 2021]]</f>
        <v>0</v>
      </c>
      <c r="X497" s="63">
        <f>+Tabla1[[#This Row],[STOCK ABRIL 2021]]-Tabla1[[#This Row],[REQUISICIONES MAYO 2021]]+Tabla1[[#This Row],[ENTRADAS MAYO 2021]]</f>
        <v>0</v>
      </c>
      <c r="Y497" s="63">
        <f>+Tabla1[[#This Row],[STOCK MAYO 2021]]-Tabla1[[#This Row],[REQUISICIONES JUNIO 2021]]+Tabla1[[#This Row],[ENTRADAS JUNIO 2021]]</f>
        <v>0</v>
      </c>
      <c r="Z497" s="30" t="s">
        <v>12</v>
      </c>
      <c r="AA497" s="34">
        <v>12.2</v>
      </c>
      <c r="AB497" s="35">
        <f t="shared" si="17"/>
        <v>14.395999999999999</v>
      </c>
      <c r="AC497" s="93">
        <f>Tabla1[[#This Row],[STOCK JUNIO ]]*Tabla1[[#This Row],[COSTO UNITARIO SIN ITBIS]]</f>
        <v>0</v>
      </c>
    </row>
    <row r="498" spans="1:29" s="8" customFormat="1" x14ac:dyDescent="0.25">
      <c r="A498" s="265">
        <v>42</v>
      </c>
      <c r="B498" s="74">
        <v>44026</v>
      </c>
      <c r="C498" s="13" t="s">
        <v>11</v>
      </c>
      <c r="D498" s="74">
        <v>44026</v>
      </c>
      <c r="E498" s="145"/>
      <c r="F498" s="13">
        <v>1069</v>
      </c>
      <c r="G498" s="75" t="s">
        <v>349</v>
      </c>
      <c r="H498" s="72">
        <v>0</v>
      </c>
      <c r="I498" s="72"/>
      <c r="J498" s="72">
        <f>+'INVENTARIO ABRIL-JUNIO 2021'!$H498-'INVENTARIO ABRIL-JUNIO 2021'!$I498</f>
        <v>0</v>
      </c>
      <c r="K498" s="72"/>
      <c r="L498" s="72"/>
      <c r="M498" s="72"/>
      <c r="N498" s="72"/>
      <c r="O498" s="296"/>
      <c r="P498" s="72"/>
      <c r="Q498" s="72"/>
      <c r="R498" s="72"/>
      <c r="S498" s="72"/>
      <c r="T498" s="72"/>
      <c r="U498" s="72">
        <f>+Tabla1[[#This Row],[STOCK    FISICO ENERO 2021]]-Tabla1[[#This Row],[REQUISICIONES FEBRERO 2021]]</f>
        <v>0</v>
      </c>
      <c r="V498" s="72">
        <f>+Tabla1[[#This Row],[STOCK  FEBRERO 2021]]-Tabla1[[#This Row],[REQUISICIONES MARZO 2021]]+Tabla1[[#This Row],[ENTRADAS MARZO 2021]]</f>
        <v>0</v>
      </c>
      <c r="W498" s="72">
        <f>+Tabla1[[#This Row],[STOCK MARZO 2021]]-Tabla1[[#This Row],[REQUISICIONES ABRIL 2021]]+Tabla1[[#This Row],[ENTRADAS ABRIL 2021]]</f>
        <v>0</v>
      </c>
      <c r="X498" s="72">
        <f>+Tabla1[[#This Row],[STOCK ABRIL 2021]]-Tabla1[[#This Row],[REQUISICIONES MAYO 2021]]+Tabla1[[#This Row],[ENTRADAS MAYO 2021]]</f>
        <v>0</v>
      </c>
      <c r="Y498" s="72">
        <f>+Tabla1[[#This Row],[STOCK MAYO 2021]]-Tabla1[[#This Row],[REQUISICIONES JUNIO 2021]]+Tabla1[[#This Row],[ENTRADAS JUNIO 2021]]</f>
        <v>0</v>
      </c>
      <c r="Z498" s="73" t="s">
        <v>12</v>
      </c>
      <c r="AA498" s="76">
        <v>65</v>
      </c>
      <c r="AB498" s="35">
        <f t="shared" si="17"/>
        <v>76.7</v>
      </c>
      <c r="AC498" s="93">
        <f>Tabla1[[#This Row],[STOCK JUNIO ]]*Tabla1[[#This Row],[COSTO UNITARIO SIN ITBIS]]</f>
        <v>0</v>
      </c>
    </row>
    <row r="499" spans="1:29" s="8" customFormat="1" x14ac:dyDescent="0.25">
      <c r="A499" s="265">
        <v>43</v>
      </c>
      <c r="B499" s="31">
        <v>44168</v>
      </c>
      <c r="C499" s="28" t="s">
        <v>11</v>
      </c>
      <c r="D499" s="31">
        <v>44153</v>
      </c>
      <c r="E499" s="137"/>
      <c r="F499" s="13">
        <v>1711</v>
      </c>
      <c r="G499" s="75" t="s">
        <v>350</v>
      </c>
      <c r="H499" s="72">
        <f>99+1</f>
        <v>100</v>
      </c>
      <c r="I499" s="72"/>
      <c r="J499" s="72">
        <f>+'INVENTARIO ABRIL-JUNIO 2021'!$H499-'INVENTARIO ABRIL-JUNIO 2021'!$I499</f>
        <v>100</v>
      </c>
      <c r="K499" s="72"/>
      <c r="L499" s="72"/>
      <c r="M499" s="72"/>
      <c r="N499" s="72"/>
      <c r="O499" s="296"/>
      <c r="P499" s="72"/>
      <c r="Q499" s="72"/>
      <c r="R499" s="72">
        <f>2+1</f>
        <v>3</v>
      </c>
      <c r="S499" s="72">
        <v>5</v>
      </c>
      <c r="T499" s="72">
        <f>2+4</f>
        <v>6</v>
      </c>
      <c r="U499" s="72">
        <f>+Tabla1[[#This Row],[STOCK    FISICO ENERO 2021]]-Tabla1[[#This Row],[REQUISICIONES FEBRERO 2021]]</f>
        <v>100</v>
      </c>
      <c r="V499" s="72">
        <f>+Tabla1[[#This Row],[STOCK  FEBRERO 2021]]-Tabla1[[#This Row],[REQUISICIONES MARZO 2021]]+Tabla1[[#This Row],[ENTRADAS MARZO 2021]]</f>
        <v>100</v>
      </c>
      <c r="W499" s="72">
        <f>+Tabla1[[#This Row],[STOCK MARZO 2021]]-Tabla1[[#This Row],[REQUISICIONES ABRIL 2021]]+Tabla1[[#This Row],[ENTRADAS ABRIL 2021]]</f>
        <v>97</v>
      </c>
      <c r="X499" s="72">
        <f>+Tabla1[[#This Row],[STOCK ABRIL 2021]]-Tabla1[[#This Row],[REQUISICIONES MAYO 2021]]+Tabla1[[#This Row],[ENTRADAS MAYO 2021]]</f>
        <v>92</v>
      </c>
      <c r="Y499" s="72">
        <f>+Tabla1[[#This Row],[STOCK MAYO 2021]]-Tabla1[[#This Row],[REQUISICIONES JUNIO 2021]]+Tabla1[[#This Row],[ENTRADAS JUNIO 2021]]</f>
        <v>86</v>
      </c>
      <c r="Z499" s="73" t="s">
        <v>12</v>
      </c>
      <c r="AA499" s="76">
        <v>9.15</v>
      </c>
      <c r="AB499" s="35">
        <f t="shared" si="17"/>
        <v>10.797000000000001</v>
      </c>
      <c r="AC499" s="93">
        <f>Tabla1[[#This Row],[STOCK JUNIO ]]*Tabla1[[#This Row],[COSTO UNITARIO SIN ITBIS]]</f>
        <v>786.9</v>
      </c>
    </row>
    <row r="500" spans="1:29" s="8" customFormat="1" x14ac:dyDescent="0.25">
      <c r="A500" s="265">
        <v>44</v>
      </c>
      <c r="B500" s="74">
        <v>44168</v>
      </c>
      <c r="C500" s="13" t="s">
        <v>11</v>
      </c>
      <c r="D500" s="74">
        <v>44153</v>
      </c>
      <c r="E500" s="145"/>
      <c r="F500" s="28">
        <v>1709</v>
      </c>
      <c r="G500" s="32" t="s">
        <v>351</v>
      </c>
      <c r="H500" s="63">
        <v>92</v>
      </c>
      <c r="I500" s="63">
        <v>2</v>
      </c>
      <c r="J500" s="63">
        <f>+'INVENTARIO ABRIL-JUNIO 2021'!$H500-'INVENTARIO ABRIL-JUNIO 2021'!$I500</f>
        <v>90</v>
      </c>
      <c r="K500" s="63"/>
      <c r="L500" s="63"/>
      <c r="M500" s="63"/>
      <c r="N500" s="63"/>
      <c r="O500" s="125"/>
      <c r="P500" s="63"/>
      <c r="Q500" s="63">
        <f>1+2+2</f>
        <v>5</v>
      </c>
      <c r="R500" s="63"/>
      <c r="S500" s="63"/>
      <c r="T500" s="63"/>
      <c r="U500" s="63">
        <f>+Tabla1[[#This Row],[STOCK    FISICO ENERO 2021]]-Tabla1[[#This Row],[REQUISICIONES FEBRERO 2021]]</f>
        <v>90</v>
      </c>
      <c r="V500" s="63">
        <f>+Tabla1[[#This Row],[STOCK  FEBRERO 2021]]-Tabla1[[#This Row],[REQUISICIONES MARZO 2021]]+Tabla1[[#This Row],[ENTRADAS MARZO 2021]]</f>
        <v>85</v>
      </c>
      <c r="W500" s="63">
        <f>+Tabla1[[#This Row],[STOCK MARZO 2021]]-Tabla1[[#This Row],[REQUISICIONES ABRIL 2021]]+Tabla1[[#This Row],[ENTRADAS ABRIL 2021]]</f>
        <v>85</v>
      </c>
      <c r="X500" s="63">
        <f>+Tabla1[[#This Row],[STOCK ABRIL 2021]]-Tabla1[[#This Row],[REQUISICIONES MAYO 2021]]+Tabla1[[#This Row],[ENTRADAS MAYO 2021]]</f>
        <v>85</v>
      </c>
      <c r="Y500" s="63">
        <f>+Tabla1[[#This Row],[STOCK MAYO 2021]]-Tabla1[[#This Row],[REQUISICIONES JUNIO 2021]]+Tabla1[[#This Row],[ENTRADAS JUNIO 2021]]</f>
        <v>85</v>
      </c>
      <c r="Z500" s="30" t="s">
        <v>12</v>
      </c>
      <c r="AA500" s="34">
        <v>6.1</v>
      </c>
      <c r="AB500" s="35">
        <f t="shared" si="17"/>
        <v>7.1979999999999995</v>
      </c>
      <c r="AC500" s="93">
        <f>Tabla1[[#This Row],[STOCK JUNIO ]]*Tabla1[[#This Row],[COSTO UNITARIO SIN ITBIS]]</f>
        <v>518.5</v>
      </c>
    </row>
    <row r="501" spans="1:29" s="8" customFormat="1" x14ac:dyDescent="0.25">
      <c r="A501" s="265">
        <v>45</v>
      </c>
      <c r="B501" s="31">
        <v>44168</v>
      </c>
      <c r="C501" s="28" t="s">
        <v>11</v>
      </c>
      <c r="D501" s="31">
        <v>44153</v>
      </c>
      <c r="E501" s="137"/>
      <c r="F501" s="13">
        <v>1712</v>
      </c>
      <c r="G501" s="75" t="s">
        <v>352</v>
      </c>
      <c r="H501" s="72">
        <v>110</v>
      </c>
      <c r="I501" s="72"/>
      <c r="J501" s="72">
        <f>+'INVENTARIO ABRIL-JUNIO 2021'!$H501-'INVENTARIO ABRIL-JUNIO 2021'!$I501</f>
        <v>110</v>
      </c>
      <c r="K501" s="72"/>
      <c r="L501" s="72"/>
      <c r="M501" s="72"/>
      <c r="N501" s="72"/>
      <c r="O501" s="296"/>
      <c r="P501" s="72"/>
      <c r="Q501" s="72"/>
      <c r="R501" s="72">
        <v>2</v>
      </c>
      <c r="S501" s="72"/>
      <c r="T501" s="72"/>
      <c r="U501" s="72">
        <f>+Tabla1[[#This Row],[STOCK    FISICO ENERO 2021]]-Tabla1[[#This Row],[REQUISICIONES FEBRERO 2021]]</f>
        <v>110</v>
      </c>
      <c r="V501" s="72">
        <f>+Tabla1[[#This Row],[STOCK  FEBRERO 2021]]-Tabla1[[#This Row],[REQUISICIONES MARZO 2021]]+Tabla1[[#This Row],[ENTRADAS MARZO 2021]]</f>
        <v>110</v>
      </c>
      <c r="W501" s="72">
        <f>+Tabla1[[#This Row],[STOCK MARZO 2021]]-Tabla1[[#This Row],[REQUISICIONES ABRIL 2021]]+Tabla1[[#This Row],[ENTRADAS ABRIL 2021]]</f>
        <v>108</v>
      </c>
      <c r="X501" s="72">
        <f>+Tabla1[[#This Row],[STOCK ABRIL 2021]]-Tabla1[[#This Row],[REQUISICIONES MAYO 2021]]+Tabla1[[#This Row],[ENTRADAS MAYO 2021]]</f>
        <v>108</v>
      </c>
      <c r="Y501" s="72">
        <f>+Tabla1[[#This Row],[STOCK MAYO 2021]]-Tabla1[[#This Row],[REQUISICIONES JUNIO 2021]]+Tabla1[[#This Row],[ENTRADAS JUNIO 2021]]</f>
        <v>108</v>
      </c>
      <c r="Z501" s="73" t="s">
        <v>12</v>
      </c>
      <c r="AA501" s="76">
        <v>25.42</v>
      </c>
      <c r="AB501" s="35">
        <f t="shared" si="17"/>
        <v>29.995600000000003</v>
      </c>
      <c r="AC501" s="93">
        <f>Tabla1[[#This Row],[STOCK JUNIO ]]*Tabla1[[#This Row],[COSTO UNITARIO SIN ITBIS]]</f>
        <v>2745.36</v>
      </c>
    </row>
    <row r="502" spans="1:29" s="8" customFormat="1" x14ac:dyDescent="0.25">
      <c r="A502" s="265">
        <v>46</v>
      </c>
      <c r="B502" s="74">
        <v>44026</v>
      </c>
      <c r="C502" s="13" t="s">
        <v>11</v>
      </c>
      <c r="D502" s="74">
        <v>44026</v>
      </c>
      <c r="E502" s="145"/>
      <c r="F502" s="28">
        <v>1713</v>
      </c>
      <c r="G502" s="32" t="s">
        <v>353</v>
      </c>
      <c r="H502" s="63">
        <v>9</v>
      </c>
      <c r="I502" s="63"/>
      <c r="J502" s="63">
        <f>+'INVENTARIO ABRIL-JUNIO 2021'!$H502-'INVENTARIO ABRIL-JUNIO 2021'!$I502</f>
        <v>9</v>
      </c>
      <c r="K502" s="63"/>
      <c r="L502" s="63"/>
      <c r="M502" s="63"/>
      <c r="N502" s="63"/>
      <c r="O502" s="125"/>
      <c r="P502" s="63"/>
      <c r="Q502" s="63"/>
      <c r="R502" s="63"/>
      <c r="S502" s="63"/>
      <c r="T502" s="63"/>
      <c r="U502" s="63">
        <f>+Tabla1[[#This Row],[STOCK    FISICO ENERO 2021]]-Tabla1[[#This Row],[REQUISICIONES FEBRERO 2021]]</f>
        <v>9</v>
      </c>
      <c r="V502" s="63">
        <f>+Tabla1[[#This Row],[STOCK  FEBRERO 2021]]-Tabla1[[#This Row],[REQUISICIONES MARZO 2021]]+Tabla1[[#This Row],[ENTRADAS MARZO 2021]]</f>
        <v>9</v>
      </c>
      <c r="W502" s="63">
        <f>+Tabla1[[#This Row],[STOCK MARZO 2021]]-Tabla1[[#This Row],[REQUISICIONES ABRIL 2021]]+Tabla1[[#This Row],[ENTRADAS ABRIL 2021]]</f>
        <v>9</v>
      </c>
      <c r="X502" s="63">
        <f>+Tabla1[[#This Row],[STOCK ABRIL 2021]]-Tabla1[[#This Row],[REQUISICIONES MAYO 2021]]+Tabla1[[#This Row],[ENTRADAS MAYO 2021]]</f>
        <v>9</v>
      </c>
      <c r="Y502" s="63">
        <f>+Tabla1[[#This Row],[STOCK MAYO 2021]]-Tabla1[[#This Row],[REQUISICIONES JUNIO 2021]]+Tabla1[[#This Row],[ENTRADAS JUNIO 2021]]</f>
        <v>9</v>
      </c>
      <c r="Z502" s="30" t="s">
        <v>12</v>
      </c>
      <c r="AA502" s="34">
        <v>78.31</v>
      </c>
      <c r="AB502" s="35">
        <f t="shared" si="17"/>
        <v>92.405799999999999</v>
      </c>
      <c r="AC502" s="93">
        <f>Tabla1[[#This Row],[STOCK JUNIO ]]*Tabla1[[#This Row],[COSTO UNITARIO SIN ITBIS]]</f>
        <v>704.79</v>
      </c>
    </row>
    <row r="503" spans="1:29" s="8" customFormat="1" x14ac:dyDescent="0.25">
      <c r="A503" s="265">
        <v>47</v>
      </c>
      <c r="B503" s="31">
        <v>44168</v>
      </c>
      <c r="C503" s="28" t="s">
        <v>11</v>
      </c>
      <c r="D503" s="31">
        <v>44154</v>
      </c>
      <c r="E503" s="137"/>
      <c r="F503" s="13">
        <v>1710</v>
      </c>
      <c r="G503" s="75" t="s">
        <v>354</v>
      </c>
      <c r="H503" s="72">
        <v>88</v>
      </c>
      <c r="I503" s="72">
        <v>3</v>
      </c>
      <c r="J503" s="72">
        <f>+'INVENTARIO ABRIL-JUNIO 2021'!$H503-'INVENTARIO ABRIL-JUNIO 2021'!$I503</f>
        <v>85</v>
      </c>
      <c r="K503" s="72"/>
      <c r="L503" s="72"/>
      <c r="M503" s="72"/>
      <c r="N503" s="72"/>
      <c r="O503" s="296"/>
      <c r="P503" s="72">
        <f>1+1</f>
        <v>2</v>
      </c>
      <c r="Q503" s="72"/>
      <c r="R503" s="72">
        <f>2+2+4</f>
        <v>8</v>
      </c>
      <c r="S503" s="72">
        <f>2+1+3</f>
        <v>6</v>
      </c>
      <c r="T503" s="72">
        <v>2</v>
      </c>
      <c r="U503" s="72">
        <f>+Tabla1[[#This Row],[STOCK    FISICO ENERO 2021]]-Tabla1[[#This Row],[REQUISICIONES FEBRERO 2021]]</f>
        <v>83</v>
      </c>
      <c r="V503" s="72">
        <f>+Tabla1[[#This Row],[STOCK  FEBRERO 2021]]-Tabla1[[#This Row],[REQUISICIONES MARZO 2021]]+Tabla1[[#This Row],[ENTRADAS MARZO 2021]]</f>
        <v>83</v>
      </c>
      <c r="W503" s="72">
        <f>+Tabla1[[#This Row],[STOCK MARZO 2021]]-Tabla1[[#This Row],[REQUISICIONES ABRIL 2021]]+Tabla1[[#This Row],[ENTRADAS ABRIL 2021]]</f>
        <v>75</v>
      </c>
      <c r="X503" s="72">
        <f>+Tabla1[[#This Row],[STOCK ABRIL 2021]]-Tabla1[[#This Row],[REQUISICIONES MAYO 2021]]+Tabla1[[#This Row],[ENTRADAS MAYO 2021]]</f>
        <v>69</v>
      </c>
      <c r="Y503" s="72">
        <f>+Tabla1[[#This Row],[STOCK MAYO 2021]]-Tabla1[[#This Row],[REQUISICIONES JUNIO 2021]]+Tabla1[[#This Row],[ENTRADAS JUNIO 2021]]</f>
        <v>67</v>
      </c>
      <c r="Z503" s="73" t="s">
        <v>12</v>
      </c>
      <c r="AA503" s="76">
        <v>6.1</v>
      </c>
      <c r="AB503" s="35">
        <f t="shared" si="17"/>
        <v>7.1979999999999995</v>
      </c>
      <c r="AC503" s="93">
        <f>Tabla1[[#This Row],[STOCK JUNIO ]]*Tabla1[[#This Row],[COSTO UNITARIO SIN ITBIS]]</f>
        <v>408.7</v>
      </c>
    </row>
    <row r="504" spans="1:29" s="8" customFormat="1" x14ac:dyDescent="0.25">
      <c r="A504" s="265">
        <v>48</v>
      </c>
      <c r="B504" s="74">
        <v>43089</v>
      </c>
      <c r="C504" s="13" t="s">
        <v>11</v>
      </c>
      <c r="D504" s="74">
        <v>43089</v>
      </c>
      <c r="E504" s="145"/>
      <c r="F504" s="28">
        <v>1714</v>
      </c>
      <c r="G504" s="32" t="s">
        <v>355</v>
      </c>
      <c r="H504" s="63">
        <f>8+2</f>
        <v>10</v>
      </c>
      <c r="I504" s="63"/>
      <c r="J504" s="63">
        <f>+'INVENTARIO ABRIL-JUNIO 2021'!$H504-'INVENTARIO ABRIL-JUNIO 2021'!$I504</f>
        <v>10</v>
      </c>
      <c r="K504" s="63"/>
      <c r="L504" s="63"/>
      <c r="M504" s="63"/>
      <c r="N504" s="63"/>
      <c r="O504" s="125"/>
      <c r="P504" s="63"/>
      <c r="Q504" s="63"/>
      <c r="R504" s="63"/>
      <c r="S504" s="63"/>
      <c r="T504" s="63"/>
      <c r="U504" s="63">
        <f>+Tabla1[[#This Row],[STOCK    FISICO ENERO 2021]]-Tabla1[[#This Row],[REQUISICIONES FEBRERO 2021]]</f>
        <v>10</v>
      </c>
      <c r="V504" s="63">
        <f>+Tabla1[[#This Row],[STOCK  FEBRERO 2021]]-Tabla1[[#This Row],[REQUISICIONES MARZO 2021]]+Tabla1[[#This Row],[ENTRADAS MARZO 2021]]</f>
        <v>10</v>
      </c>
      <c r="W504" s="63">
        <f>+Tabla1[[#This Row],[STOCK MARZO 2021]]-Tabla1[[#This Row],[REQUISICIONES ABRIL 2021]]+Tabla1[[#This Row],[ENTRADAS ABRIL 2021]]</f>
        <v>10</v>
      </c>
      <c r="X504" s="63">
        <f>+Tabla1[[#This Row],[STOCK ABRIL 2021]]-Tabla1[[#This Row],[REQUISICIONES MAYO 2021]]+Tabla1[[#This Row],[ENTRADAS MAYO 2021]]</f>
        <v>10</v>
      </c>
      <c r="Y504" s="63">
        <f>+Tabla1[[#This Row],[STOCK MAYO 2021]]-Tabla1[[#This Row],[REQUISICIONES JUNIO 2021]]+Tabla1[[#This Row],[ENTRADAS JUNIO 2021]]</f>
        <v>10</v>
      </c>
      <c r="Z504" s="30" t="s">
        <v>12</v>
      </c>
      <c r="AA504" s="34">
        <v>115.93</v>
      </c>
      <c r="AB504" s="35">
        <f t="shared" si="17"/>
        <v>136.79740000000001</v>
      </c>
      <c r="AC504" s="93">
        <f>Tabla1[[#This Row],[STOCK JUNIO ]]*Tabla1[[#This Row],[COSTO UNITARIO SIN ITBIS]]</f>
        <v>1159.3000000000002</v>
      </c>
    </row>
    <row r="505" spans="1:29" s="8" customFormat="1" x14ac:dyDescent="0.25">
      <c r="A505" s="265">
        <v>49</v>
      </c>
      <c r="B505" s="74">
        <v>44027</v>
      </c>
      <c r="C505" s="13" t="s">
        <v>11</v>
      </c>
      <c r="D505" s="74">
        <v>44027</v>
      </c>
      <c r="E505" s="145"/>
      <c r="F505" s="13">
        <v>1804</v>
      </c>
      <c r="G505" s="75" t="s">
        <v>356</v>
      </c>
      <c r="H505" s="72">
        <v>0</v>
      </c>
      <c r="I505" s="72"/>
      <c r="J505" s="72">
        <f>+'INVENTARIO ABRIL-JUNIO 2021'!$H505-'INVENTARIO ABRIL-JUNIO 2021'!$I505</f>
        <v>0</v>
      </c>
      <c r="K505" s="72"/>
      <c r="L505" s="72"/>
      <c r="M505" s="72"/>
      <c r="N505" s="72"/>
      <c r="O505" s="296"/>
      <c r="P505" s="72"/>
      <c r="Q505" s="72"/>
      <c r="R505" s="72"/>
      <c r="S505" s="72"/>
      <c r="T505" s="72"/>
      <c r="U505" s="72">
        <f>+Tabla1[[#This Row],[STOCK    FISICO ENERO 2021]]-Tabla1[[#This Row],[REQUISICIONES FEBRERO 2021]]</f>
        <v>0</v>
      </c>
      <c r="V505" s="72">
        <f>+Tabla1[[#This Row],[STOCK  FEBRERO 2021]]-Tabla1[[#This Row],[REQUISICIONES MARZO 2021]]+Tabla1[[#This Row],[ENTRADAS MARZO 2021]]</f>
        <v>0</v>
      </c>
      <c r="W505" s="72">
        <f>+Tabla1[[#This Row],[STOCK MARZO 2021]]-Tabla1[[#This Row],[REQUISICIONES ABRIL 2021]]+Tabla1[[#This Row],[ENTRADAS ABRIL 2021]]</f>
        <v>0</v>
      </c>
      <c r="X505" s="72">
        <f>+Tabla1[[#This Row],[STOCK ABRIL 2021]]-Tabla1[[#This Row],[REQUISICIONES MAYO 2021]]+Tabla1[[#This Row],[ENTRADAS MAYO 2021]]</f>
        <v>0</v>
      </c>
      <c r="Y505" s="72">
        <f>+Tabla1[[#This Row],[STOCK MAYO 2021]]-Tabla1[[#This Row],[REQUISICIONES JUNIO 2021]]+Tabla1[[#This Row],[ENTRADAS JUNIO 2021]]</f>
        <v>0</v>
      </c>
      <c r="Z505" s="73" t="s">
        <v>105</v>
      </c>
      <c r="AA505" s="76">
        <v>334.8</v>
      </c>
      <c r="AB505" s="35">
        <f t="shared" si="17"/>
        <v>395.06400000000002</v>
      </c>
      <c r="AC505" s="93">
        <f>Tabla1[[#This Row],[STOCK JUNIO ]]*Tabla1[[#This Row],[COSTO UNITARIO SIN ITBIS]]</f>
        <v>0</v>
      </c>
    </row>
    <row r="506" spans="1:29" s="8" customFormat="1" x14ac:dyDescent="0.25">
      <c r="A506" s="265">
        <v>50</v>
      </c>
      <c r="B506" s="31">
        <v>44027</v>
      </c>
      <c r="C506" s="28" t="s">
        <v>11</v>
      </c>
      <c r="D506" s="31">
        <v>44027</v>
      </c>
      <c r="E506" s="137"/>
      <c r="F506" s="28">
        <v>1723</v>
      </c>
      <c r="G506" s="32" t="s">
        <v>632</v>
      </c>
      <c r="H506" s="63">
        <v>50</v>
      </c>
      <c r="I506" s="63"/>
      <c r="J506" s="63">
        <f>+'INVENTARIO ABRIL-JUNIO 2021'!$H506-'INVENTARIO ABRIL-JUNIO 2021'!$I506</f>
        <v>50</v>
      </c>
      <c r="K506" s="63"/>
      <c r="L506" s="63"/>
      <c r="M506" s="63"/>
      <c r="N506" s="63"/>
      <c r="O506" s="125"/>
      <c r="P506" s="63"/>
      <c r="Q506" s="63"/>
      <c r="R506" s="63"/>
      <c r="S506" s="63"/>
      <c r="T506" s="63"/>
      <c r="U506" s="63">
        <f>+Tabla1[[#This Row],[STOCK    FISICO ENERO 2021]]-Tabla1[[#This Row],[REQUISICIONES FEBRERO 2021]]</f>
        <v>50</v>
      </c>
      <c r="V506" s="63">
        <f>+Tabla1[[#This Row],[STOCK  FEBRERO 2021]]-Tabla1[[#This Row],[REQUISICIONES MARZO 2021]]+Tabla1[[#This Row],[ENTRADAS MARZO 2021]]</f>
        <v>50</v>
      </c>
      <c r="W506" s="63">
        <f>+Tabla1[[#This Row],[STOCK MARZO 2021]]-Tabla1[[#This Row],[REQUISICIONES ABRIL 2021]]+Tabla1[[#This Row],[ENTRADAS ABRIL 2021]]</f>
        <v>50</v>
      </c>
      <c r="X506" s="63">
        <f>+Tabla1[[#This Row],[STOCK ABRIL 2021]]-Tabla1[[#This Row],[REQUISICIONES MAYO 2021]]+Tabla1[[#This Row],[ENTRADAS MAYO 2021]]</f>
        <v>50</v>
      </c>
      <c r="Y506" s="63">
        <f>+Tabla1[[#This Row],[STOCK MAYO 2021]]-Tabla1[[#This Row],[REQUISICIONES JUNIO 2021]]+Tabla1[[#This Row],[ENTRADAS JUNIO 2021]]</f>
        <v>50</v>
      </c>
      <c r="Z506" s="30" t="s">
        <v>12</v>
      </c>
      <c r="AA506" s="34">
        <v>9</v>
      </c>
      <c r="AB506" s="35">
        <f t="shared" si="17"/>
        <v>10.62</v>
      </c>
      <c r="AC506" s="93">
        <f>Tabla1[[#This Row],[STOCK JUNIO ]]*Tabla1[[#This Row],[COSTO UNITARIO SIN ITBIS]]</f>
        <v>450</v>
      </c>
    </row>
    <row r="507" spans="1:29" s="8" customFormat="1" x14ac:dyDescent="0.25">
      <c r="A507" s="265">
        <v>51</v>
      </c>
      <c r="B507" s="74">
        <v>44027</v>
      </c>
      <c r="C507" s="13" t="s">
        <v>11</v>
      </c>
      <c r="D507" s="74">
        <v>44027</v>
      </c>
      <c r="E507" s="145"/>
      <c r="F507" s="13">
        <v>1724</v>
      </c>
      <c r="G507" s="75" t="s">
        <v>633</v>
      </c>
      <c r="H507" s="72">
        <v>50</v>
      </c>
      <c r="I507" s="72"/>
      <c r="J507" s="72">
        <f>+'INVENTARIO ABRIL-JUNIO 2021'!$H507-'INVENTARIO ABRIL-JUNIO 2021'!$I507</f>
        <v>50</v>
      </c>
      <c r="K507" s="72"/>
      <c r="L507" s="72"/>
      <c r="M507" s="72"/>
      <c r="N507" s="72"/>
      <c r="O507" s="296"/>
      <c r="P507" s="72"/>
      <c r="Q507" s="72"/>
      <c r="R507" s="72"/>
      <c r="S507" s="72"/>
      <c r="T507" s="72"/>
      <c r="U507" s="72">
        <f>+Tabla1[[#This Row],[STOCK    FISICO ENERO 2021]]-Tabla1[[#This Row],[REQUISICIONES FEBRERO 2021]]</f>
        <v>50</v>
      </c>
      <c r="V507" s="72">
        <f>+Tabla1[[#This Row],[STOCK  FEBRERO 2021]]-Tabla1[[#This Row],[REQUISICIONES MARZO 2021]]+Tabla1[[#This Row],[ENTRADAS MARZO 2021]]</f>
        <v>50</v>
      </c>
      <c r="W507" s="72">
        <f>+Tabla1[[#This Row],[STOCK MARZO 2021]]-Tabla1[[#This Row],[REQUISICIONES ABRIL 2021]]+Tabla1[[#This Row],[ENTRADAS ABRIL 2021]]</f>
        <v>50</v>
      </c>
      <c r="X507" s="72">
        <f>+Tabla1[[#This Row],[STOCK ABRIL 2021]]-Tabla1[[#This Row],[REQUISICIONES MAYO 2021]]+Tabla1[[#This Row],[ENTRADAS MAYO 2021]]</f>
        <v>50</v>
      </c>
      <c r="Y507" s="72">
        <f>+Tabla1[[#This Row],[STOCK MAYO 2021]]-Tabla1[[#This Row],[REQUISICIONES JUNIO 2021]]+Tabla1[[#This Row],[ENTRADAS JUNIO 2021]]</f>
        <v>50</v>
      </c>
      <c r="Z507" s="73" t="s">
        <v>12</v>
      </c>
      <c r="AA507" s="76">
        <v>9</v>
      </c>
      <c r="AB507" s="35">
        <f t="shared" si="17"/>
        <v>10.62</v>
      </c>
      <c r="AC507" s="93">
        <f>Tabla1[[#This Row],[STOCK JUNIO ]]*Tabla1[[#This Row],[COSTO UNITARIO SIN ITBIS]]</f>
        <v>450</v>
      </c>
    </row>
    <row r="508" spans="1:29" s="8" customFormat="1" x14ac:dyDescent="0.25">
      <c r="A508" s="265">
        <v>52</v>
      </c>
      <c r="B508" s="31">
        <v>44027</v>
      </c>
      <c r="C508" s="28" t="s">
        <v>11</v>
      </c>
      <c r="D508" s="31">
        <v>44027</v>
      </c>
      <c r="E508" s="137"/>
      <c r="F508" s="28" t="s">
        <v>20</v>
      </c>
      <c r="G508" s="32" t="s">
        <v>357</v>
      </c>
      <c r="H508" s="63">
        <v>0</v>
      </c>
      <c r="I508" s="63"/>
      <c r="J508" s="63">
        <f>+'INVENTARIO ABRIL-JUNIO 2021'!$H508-'INVENTARIO ABRIL-JUNIO 2021'!$I508</f>
        <v>0</v>
      </c>
      <c r="K508" s="63"/>
      <c r="L508" s="63"/>
      <c r="M508" s="63"/>
      <c r="N508" s="63"/>
      <c r="O508" s="125"/>
      <c r="P508" s="63"/>
      <c r="Q508" s="63"/>
      <c r="R508" s="63"/>
      <c r="S508" s="63"/>
      <c r="T508" s="63"/>
      <c r="U508" s="63">
        <f>+Tabla1[[#This Row],[STOCK    FISICO ENERO 2021]]-Tabla1[[#This Row],[REQUISICIONES FEBRERO 2021]]</f>
        <v>0</v>
      </c>
      <c r="V508" s="63">
        <f>+Tabla1[[#This Row],[STOCK  FEBRERO 2021]]-Tabla1[[#This Row],[REQUISICIONES MARZO 2021]]+Tabla1[[#This Row],[ENTRADAS MARZO 2021]]</f>
        <v>0</v>
      </c>
      <c r="W508" s="63">
        <f>+Tabla1[[#This Row],[STOCK MARZO 2021]]-Tabla1[[#This Row],[REQUISICIONES ABRIL 2021]]+Tabla1[[#This Row],[ENTRADAS ABRIL 2021]]</f>
        <v>0</v>
      </c>
      <c r="X508" s="63">
        <f>+Tabla1[[#This Row],[STOCK ABRIL 2021]]-Tabla1[[#This Row],[REQUISICIONES MAYO 2021]]+Tabla1[[#This Row],[ENTRADAS MAYO 2021]]</f>
        <v>0</v>
      </c>
      <c r="Y508" s="63">
        <f>+Tabla1[[#This Row],[STOCK MAYO 2021]]-Tabla1[[#This Row],[REQUISICIONES JUNIO 2021]]+Tabla1[[#This Row],[ENTRADAS JUNIO 2021]]</f>
        <v>0</v>
      </c>
      <c r="Z508" s="30" t="s">
        <v>12</v>
      </c>
      <c r="AA508" s="34">
        <v>0</v>
      </c>
      <c r="AB508" s="35">
        <f t="shared" si="17"/>
        <v>0</v>
      </c>
      <c r="AC508" s="93">
        <f>Tabla1[[#This Row],[STOCK JUNIO ]]*Tabla1[[#This Row],[COSTO UNITARIO SIN ITBIS]]</f>
        <v>0</v>
      </c>
    </row>
    <row r="509" spans="1:29" s="8" customFormat="1" x14ac:dyDescent="0.25">
      <c r="A509" s="265">
        <v>53</v>
      </c>
      <c r="B509" s="74">
        <v>44027</v>
      </c>
      <c r="C509" s="13" t="s">
        <v>11</v>
      </c>
      <c r="D509" s="74">
        <v>44027</v>
      </c>
      <c r="E509" s="145"/>
      <c r="F509" s="13">
        <v>1504</v>
      </c>
      <c r="G509" s="75" t="s">
        <v>358</v>
      </c>
      <c r="H509" s="72">
        <v>0</v>
      </c>
      <c r="I509" s="72"/>
      <c r="J509" s="72">
        <f>+'INVENTARIO ABRIL-JUNIO 2021'!$H509-'INVENTARIO ABRIL-JUNIO 2021'!$I509</f>
        <v>0</v>
      </c>
      <c r="K509" s="72"/>
      <c r="L509" s="72"/>
      <c r="M509" s="72"/>
      <c r="N509" s="72"/>
      <c r="O509" s="296"/>
      <c r="P509" s="72"/>
      <c r="Q509" s="72"/>
      <c r="R509" s="72"/>
      <c r="S509" s="72"/>
      <c r="T509" s="72"/>
      <c r="U509" s="72">
        <f>+Tabla1[[#This Row],[STOCK    FISICO ENERO 2021]]-Tabla1[[#This Row],[REQUISICIONES FEBRERO 2021]]</f>
        <v>0</v>
      </c>
      <c r="V509" s="72">
        <f>+Tabla1[[#This Row],[STOCK  FEBRERO 2021]]-Tabla1[[#This Row],[REQUISICIONES MARZO 2021]]+Tabla1[[#This Row],[ENTRADAS MARZO 2021]]</f>
        <v>0</v>
      </c>
      <c r="W509" s="72">
        <f>+Tabla1[[#This Row],[STOCK MARZO 2021]]-Tabla1[[#This Row],[REQUISICIONES ABRIL 2021]]+Tabla1[[#This Row],[ENTRADAS ABRIL 2021]]</f>
        <v>0</v>
      </c>
      <c r="X509" s="72">
        <f>+Tabla1[[#This Row],[STOCK ABRIL 2021]]-Tabla1[[#This Row],[REQUISICIONES MAYO 2021]]+Tabla1[[#This Row],[ENTRADAS MAYO 2021]]</f>
        <v>0</v>
      </c>
      <c r="Y509" s="72">
        <f>+Tabla1[[#This Row],[STOCK MAYO 2021]]-Tabla1[[#This Row],[REQUISICIONES JUNIO 2021]]+Tabla1[[#This Row],[ENTRADAS JUNIO 2021]]</f>
        <v>0</v>
      </c>
      <c r="Z509" s="73" t="s">
        <v>12</v>
      </c>
      <c r="AA509" s="76">
        <v>5.38</v>
      </c>
      <c r="AB509" s="35">
        <f t="shared" si="17"/>
        <v>6.3483999999999998</v>
      </c>
      <c r="AC509" s="93">
        <f>Tabla1[[#This Row],[STOCK JUNIO ]]*Tabla1[[#This Row],[COSTO UNITARIO SIN ITBIS]]</f>
        <v>0</v>
      </c>
    </row>
    <row r="510" spans="1:29" s="8" customFormat="1" x14ac:dyDescent="0.25">
      <c r="A510" s="265">
        <v>54</v>
      </c>
      <c r="B510" s="31">
        <v>44027</v>
      </c>
      <c r="C510" s="28" t="s">
        <v>11</v>
      </c>
      <c r="D510" s="31">
        <v>44027</v>
      </c>
      <c r="E510" s="137"/>
      <c r="F510" s="28">
        <v>1449</v>
      </c>
      <c r="G510" s="32" t="s">
        <v>359</v>
      </c>
      <c r="H510" s="63">
        <v>0</v>
      </c>
      <c r="I510" s="63"/>
      <c r="J510" s="63">
        <f>+'INVENTARIO ABRIL-JUNIO 2021'!$H510-'INVENTARIO ABRIL-JUNIO 2021'!$I510</f>
        <v>0</v>
      </c>
      <c r="K510" s="63"/>
      <c r="L510" s="63"/>
      <c r="M510" s="63"/>
      <c r="N510" s="63"/>
      <c r="O510" s="125"/>
      <c r="P510" s="63"/>
      <c r="Q510" s="63"/>
      <c r="R510" s="63"/>
      <c r="S510" s="63"/>
      <c r="T510" s="63"/>
      <c r="U510" s="63">
        <f>+Tabla1[[#This Row],[STOCK    FISICO ENERO 2021]]-Tabla1[[#This Row],[REQUISICIONES FEBRERO 2021]]</f>
        <v>0</v>
      </c>
      <c r="V510" s="63">
        <f>+Tabla1[[#This Row],[STOCK  FEBRERO 2021]]-Tabla1[[#This Row],[REQUISICIONES MARZO 2021]]+Tabla1[[#This Row],[ENTRADAS MARZO 2021]]</f>
        <v>0</v>
      </c>
      <c r="W510" s="63">
        <f>+Tabla1[[#This Row],[STOCK MARZO 2021]]-Tabla1[[#This Row],[REQUISICIONES ABRIL 2021]]+Tabla1[[#This Row],[ENTRADAS ABRIL 2021]]</f>
        <v>0</v>
      </c>
      <c r="X510" s="63">
        <f>+Tabla1[[#This Row],[STOCK ABRIL 2021]]-Tabla1[[#This Row],[REQUISICIONES MAYO 2021]]+Tabla1[[#This Row],[ENTRADAS MAYO 2021]]</f>
        <v>0</v>
      </c>
      <c r="Y510" s="63">
        <f>+Tabla1[[#This Row],[STOCK MAYO 2021]]-Tabla1[[#This Row],[REQUISICIONES JUNIO 2021]]+Tabla1[[#This Row],[ENTRADAS JUNIO 2021]]</f>
        <v>0</v>
      </c>
      <c r="Z510" s="30" t="s">
        <v>12</v>
      </c>
      <c r="AA510" s="34">
        <v>5.38</v>
      </c>
      <c r="AB510" s="35">
        <f t="shared" si="17"/>
        <v>6.3483999999999998</v>
      </c>
      <c r="AC510" s="93">
        <f>Tabla1[[#This Row],[STOCK JUNIO ]]*Tabla1[[#This Row],[COSTO UNITARIO SIN ITBIS]]</f>
        <v>0</v>
      </c>
    </row>
    <row r="511" spans="1:29" s="8" customFormat="1" x14ac:dyDescent="0.25">
      <c r="A511" s="265">
        <v>55</v>
      </c>
      <c r="B511" s="74">
        <v>44028</v>
      </c>
      <c r="C511" s="13" t="s">
        <v>11</v>
      </c>
      <c r="D511" s="74">
        <v>44028</v>
      </c>
      <c r="E511" s="145"/>
      <c r="F511" s="13" t="s">
        <v>20</v>
      </c>
      <c r="G511" s="75" t="s">
        <v>360</v>
      </c>
      <c r="H511" s="72">
        <v>6</v>
      </c>
      <c r="I511" s="72"/>
      <c r="J511" s="72">
        <f>+'INVENTARIO ABRIL-JUNIO 2021'!$H511-'INVENTARIO ABRIL-JUNIO 2021'!$I511</f>
        <v>6</v>
      </c>
      <c r="K511" s="72"/>
      <c r="L511" s="72"/>
      <c r="M511" s="72"/>
      <c r="N511" s="72"/>
      <c r="O511" s="296"/>
      <c r="P511" s="72"/>
      <c r="Q511" s="72"/>
      <c r="R511" s="72"/>
      <c r="S511" s="72"/>
      <c r="T511" s="72"/>
      <c r="U511" s="72">
        <f>+Tabla1[[#This Row],[STOCK    FISICO ENERO 2021]]-Tabla1[[#This Row],[REQUISICIONES FEBRERO 2021]]</f>
        <v>6</v>
      </c>
      <c r="V511" s="72">
        <f>+Tabla1[[#This Row],[STOCK  FEBRERO 2021]]-Tabla1[[#This Row],[REQUISICIONES MARZO 2021]]+Tabla1[[#This Row],[ENTRADAS MARZO 2021]]</f>
        <v>6</v>
      </c>
      <c r="W511" s="72">
        <f>+Tabla1[[#This Row],[STOCK MARZO 2021]]-Tabla1[[#This Row],[REQUISICIONES ABRIL 2021]]+Tabla1[[#This Row],[ENTRADAS ABRIL 2021]]</f>
        <v>6</v>
      </c>
      <c r="X511" s="72">
        <f>+Tabla1[[#This Row],[STOCK ABRIL 2021]]-Tabla1[[#This Row],[REQUISICIONES MAYO 2021]]+Tabla1[[#This Row],[ENTRADAS MAYO 2021]]</f>
        <v>6</v>
      </c>
      <c r="Y511" s="72">
        <f>+Tabla1[[#This Row],[STOCK MAYO 2021]]-Tabla1[[#This Row],[REQUISICIONES JUNIO 2021]]+Tabla1[[#This Row],[ENTRADAS JUNIO 2021]]</f>
        <v>6</v>
      </c>
      <c r="Z511" s="73" t="s">
        <v>12</v>
      </c>
      <c r="AA511" s="76">
        <v>3318.86</v>
      </c>
      <c r="AB511" s="35">
        <f t="shared" si="17"/>
        <v>3916.2548000000002</v>
      </c>
      <c r="AC511" s="93">
        <f>Tabla1[[#This Row],[STOCK JUNIO ]]*Tabla1[[#This Row],[COSTO UNITARIO SIN ITBIS]]</f>
        <v>19913.16</v>
      </c>
    </row>
    <row r="512" spans="1:29" s="8" customFormat="1" x14ac:dyDescent="0.25">
      <c r="A512" s="265">
        <v>56</v>
      </c>
      <c r="B512" s="31">
        <v>44027</v>
      </c>
      <c r="C512" s="28" t="s">
        <v>11</v>
      </c>
      <c r="D512" s="31">
        <v>44027</v>
      </c>
      <c r="E512" s="137"/>
      <c r="F512" s="28">
        <v>1104</v>
      </c>
      <c r="G512" s="32" t="s">
        <v>361</v>
      </c>
      <c r="H512" s="63">
        <v>47</v>
      </c>
      <c r="I512" s="63"/>
      <c r="J512" s="63">
        <f>+'INVENTARIO ABRIL-JUNIO 2021'!$H512-'INVENTARIO ABRIL-JUNIO 2021'!$I512</f>
        <v>47</v>
      </c>
      <c r="K512" s="63"/>
      <c r="L512" s="63"/>
      <c r="M512" s="63"/>
      <c r="N512" s="63"/>
      <c r="O512" s="125"/>
      <c r="P512" s="63"/>
      <c r="Q512" s="63">
        <v>1</v>
      </c>
      <c r="R512" s="63"/>
      <c r="S512" s="63"/>
      <c r="T512" s="63"/>
      <c r="U512" s="63">
        <f>+Tabla1[[#This Row],[STOCK    FISICO ENERO 2021]]-Tabla1[[#This Row],[REQUISICIONES FEBRERO 2021]]</f>
        <v>47</v>
      </c>
      <c r="V512" s="63">
        <f>+Tabla1[[#This Row],[STOCK  FEBRERO 2021]]-Tabla1[[#This Row],[REQUISICIONES MARZO 2021]]+Tabla1[[#This Row],[ENTRADAS MARZO 2021]]</f>
        <v>46</v>
      </c>
      <c r="W512" s="63">
        <f>+Tabla1[[#This Row],[STOCK MARZO 2021]]-Tabla1[[#This Row],[REQUISICIONES ABRIL 2021]]+Tabla1[[#This Row],[ENTRADAS ABRIL 2021]]</f>
        <v>46</v>
      </c>
      <c r="X512" s="63">
        <f>+Tabla1[[#This Row],[STOCK ABRIL 2021]]-Tabla1[[#This Row],[REQUISICIONES MAYO 2021]]+Tabla1[[#This Row],[ENTRADAS MAYO 2021]]</f>
        <v>46</v>
      </c>
      <c r="Y512" s="63">
        <f>+Tabla1[[#This Row],[STOCK MAYO 2021]]-Tabla1[[#This Row],[REQUISICIONES JUNIO 2021]]+Tabla1[[#This Row],[ENTRADAS JUNIO 2021]]</f>
        <v>46</v>
      </c>
      <c r="Z512" s="30" t="s">
        <v>12</v>
      </c>
      <c r="AA512" s="34">
        <v>0</v>
      </c>
      <c r="AB512" s="35">
        <f t="shared" si="17"/>
        <v>0</v>
      </c>
      <c r="AC512" s="93">
        <f>Tabla1[[#This Row],[STOCK JUNIO ]]*Tabla1[[#This Row],[COSTO UNITARIO SIN ITBIS]]</f>
        <v>0</v>
      </c>
    </row>
    <row r="513" spans="1:29" s="8" customFormat="1" x14ac:dyDescent="0.25">
      <c r="A513" s="265">
        <v>57</v>
      </c>
      <c r="B513" s="74">
        <v>44027</v>
      </c>
      <c r="C513" s="13" t="s">
        <v>11</v>
      </c>
      <c r="D513" s="74">
        <v>44027</v>
      </c>
      <c r="E513" s="145"/>
      <c r="F513" s="13">
        <v>1698</v>
      </c>
      <c r="G513" s="75" t="s">
        <v>362</v>
      </c>
      <c r="H513" s="72">
        <v>0</v>
      </c>
      <c r="I513" s="72"/>
      <c r="J513" s="72">
        <f>+'INVENTARIO ABRIL-JUNIO 2021'!$H513-'INVENTARIO ABRIL-JUNIO 2021'!$I513</f>
        <v>0</v>
      </c>
      <c r="K513" s="72"/>
      <c r="L513" s="72"/>
      <c r="M513" s="72"/>
      <c r="N513" s="72"/>
      <c r="O513" s="296"/>
      <c r="P513" s="72"/>
      <c r="Q513" s="72"/>
      <c r="R513" s="72"/>
      <c r="S513" s="72"/>
      <c r="T513" s="72"/>
      <c r="U513" s="72">
        <f>+Tabla1[[#This Row],[STOCK    FISICO ENERO 2021]]-Tabla1[[#This Row],[REQUISICIONES FEBRERO 2021]]</f>
        <v>0</v>
      </c>
      <c r="V513" s="72">
        <f>+Tabla1[[#This Row],[STOCK  FEBRERO 2021]]-Tabla1[[#This Row],[REQUISICIONES MARZO 2021]]+Tabla1[[#This Row],[ENTRADAS MARZO 2021]]</f>
        <v>0</v>
      </c>
      <c r="W513" s="72">
        <f>+Tabla1[[#This Row],[STOCK MARZO 2021]]-Tabla1[[#This Row],[REQUISICIONES ABRIL 2021]]+Tabla1[[#This Row],[ENTRADAS ABRIL 2021]]</f>
        <v>0</v>
      </c>
      <c r="X513" s="72">
        <f>+Tabla1[[#This Row],[STOCK ABRIL 2021]]-Tabla1[[#This Row],[REQUISICIONES MAYO 2021]]+Tabla1[[#This Row],[ENTRADAS MAYO 2021]]</f>
        <v>0</v>
      </c>
      <c r="Y513" s="72">
        <f>+Tabla1[[#This Row],[STOCK MAYO 2021]]-Tabla1[[#This Row],[REQUISICIONES JUNIO 2021]]+Tabla1[[#This Row],[ENTRADAS JUNIO 2021]]</f>
        <v>0</v>
      </c>
      <c r="Z513" s="73" t="s">
        <v>12</v>
      </c>
      <c r="AA513" s="76">
        <v>45.77</v>
      </c>
      <c r="AB513" s="35">
        <f t="shared" si="17"/>
        <v>54.008600000000001</v>
      </c>
      <c r="AC513" s="93">
        <f>Tabla1[[#This Row],[STOCK JUNIO ]]*Tabla1[[#This Row],[COSTO UNITARIO SIN ITBIS]]</f>
        <v>0</v>
      </c>
    </row>
    <row r="514" spans="1:29" s="8" customFormat="1" x14ac:dyDescent="0.25">
      <c r="A514" s="265">
        <v>58</v>
      </c>
      <c r="B514" s="74">
        <v>43664</v>
      </c>
      <c r="C514" s="13" t="s">
        <v>11</v>
      </c>
      <c r="D514" s="74">
        <v>43767</v>
      </c>
      <c r="E514" s="145"/>
      <c r="F514" s="13" t="s">
        <v>20</v>
      </c>
      <c r="G514" s="75" t="s">
        <v>634</v>
      </c>
      <c r="H514" s="72">
        <v>2</v>
      </c>
      <c r="I514" s="72"/>
      <c r="J514" s="72">
        <f>+'INVENTARIO ABRIL-JUNIO 2021'!$H514-'INVENTARIO ABRIL-JUNIO 2021'!$I514</f>
        <v>2</v>
      </c>
      <c r="K514" s="72"/>
      <c r="L514" s="72"/>
      <c r="M514" s="72"/>
      <c r="N514" s="72"/>
      <c r="O514" s="296"/>
      <c r="P514" s="72"/>
      <c r="Q514" s="72"/>
      <c r="R514" s="72"/>
      <c r="S514" s="72"/>
      <c r="T514" s="72"/>
      <c r="U514" s="72">
        <f>+Tabla1[[#This Row],[STOCK    FISICO ENERO 2021]]-Tabla1[[#This Row],[REQUISICIONES FEBRERO 2021]]</f>
        <v>2</v>
      </c>
      <c r="V514" s="72">
        <f>+Tabla1[[#This Row],[STOCK  FEBRERO 2021]]-Tabla1[[#This Row],[REQUISICIONES MARZO 2021]]+Tabla1[[#This Row],[ENTRADAS MARZO 2021]]</f>
        <v>2</v>
      </c>
      <c r="W514" s="72">
        <f>+Tabla1[[#This Row],[STOCK MARZO 2021]]-Tabla1[[#This Row],[REQUISICIONES ABRIL 2021]]+Tabla1[[#This Row],[ENTRADAS ABRIL 2021]]</f>
        <v>2</v>
      </c>
      <c r="X514" s="72">
        <f>+Tabla1[[#This Row],[STOCK ABRIL 2021]]-Tabla1[[#This Row],[REQUISICIONES MAYO 2021]]+Tabla1[[#This Row],[ENTRADAS MAYO 2021]]</f>
        <v>2</v>
      </c>
      <c r="Y514" s="72">
        <f>+Tabla1[[#This Row],[STOCK MAYO 2021]]-Tabla1[[#This Row],[REQUISICIONES JUNIO 2021]]+Tabla1[[#This Row],[ENTRADAS JUNIO 2021]]</f>
        <v>2</v>
      </c>
      <c r="Z514" s="73" t="s">
        <v>12</v>
      </c>
      <c r="AA514" s="76">
        <v>0</v>
      </c>
      <c r="AB514" s="35">
        <f t="shared" si="17"/>
        <v>0</v>
      </c>
      <c r="AC514" s="93">
        <f>Tabla1[[#This Row],[STOCK JUNIO ]]*Tabla1[[#This Row],[COSTO UNITARIO SIN ITBIS]]</f>
        <v>0</v>
      </c>
    </row>
    <row r="515" spans="1:29" s="8" customFormat="1" x14ac:dyDescent="0.25">
      <c r="A515" s="265">
        <v>59</v>
      </c>
      <c r="B515" s="31">
        <v>44109</v>
      </c>
      <c r="C515" s="28" t="s">
        <v>11</v>
      </c>
      <c r="D515" s="31">
        <v>44109</v>
      </c>
      <c r="E515" s="137"/>
      <c r="F515" s="28">
        <v>1103</v>
      </c>
      <c r="G515" s="32" t="s">
        <v>363</v>
      </c>
      <c r="H515" s="63">
        <v>5</v>
      </c>
      <c r="I515" s="63"/>
      <c r="J515" s="63">
        <f>+'INVENTARIO ABRIL-JUNIO 2021'!$H515-'INVENTARIO ABRIL-JUNIO 2021'!$I515</f>
        <v>5</v>
      </c>
      <c r="K515" s="63"/>
      <c r="L515" s="63"/>
      <c r="M515" s="63"/>
      <c r="N515" s="63"/>
      <c r="O515" s="125"/>
      <c r="P515" s="63"/>
      <c r="Q515" s="63"/>
      <c r="R515" s="63"/>
      <c r="S515" s="63"/>
      <c r="T515" s="63"/>
      <c r="U515" s="63">
        <f>+Tabla1[[#This Row],[STOCK    FISICO ENERO 2021]]-Tabla1[[#This Row],[REQUISICIONES FEBRERO 2021]]</f>
        <v>5</v>
      </c>
      <c r="V515" s="63">
        <f>+Tabla1[[#This Row],[STOCK  FEBRERO 2021]]-Tabla1[[#This Row],[REQUISICIONES MARZO 2021]]+Tabla1[[#This Row],[ENTRADAS MARZO 2021]]</f>
        <v>5</v>
      </c>
      <c r="W515" s="63">
        <f>+Tabla1[[#This Row],[STOCK MARZO 2021]]-Tabla1[[#This Row],[REQUISICIONES ABRIL 2021]]+Tabla1[[#This Row],[ENTRADAS ABRIL 2021]]</f>
        <v>5</v>
      </c>
      <c r="X515" s="63">
        <f>+Tabla1[[#This Row],[STOCK ABRIL 2021]]-Tabla1[[#This Row],[REQUISICIONES MAYO 2021]]+Tabla1[[#This Row],[ENTRADAS MAYO 2021]]</f>
        <v>5</v>
      </c>
      <c r="Y515" s="63">
        <f>+Tabla1[[#This Row],[STOCK MAYO 2021]]-Tabla1[[#This Row],[REQUISICIONES JUNIO 2021]]+Tabla1[[#This Row],[ENTRADAS JUNIO 2021]]</f>
        <v>5</v>
      </c>
      <c r="Z515" s="30" t="s">
        <v>12</v>
      </c>
      <c r="AA515" s="34">
        <v>0</v>
      </c>
      <c r="AB515" s="35">
        <f t="shared" si="17"/>
        <v>0</v>
      </c>
      <c r="AC515" s="93">
        <f>Tabla1[[#This Row],[STOCK JUNIO ]]*Tabla1[[#This Row],[COSTO UNITARIO SIN ITBIS]]</f>
        <v>0</v>
      </c>
    </row>
    <row r="516" spans="1:29" s="8" customFormat="1" x14ac:dyDescent="0.25">
      <c r="A516" s="265">
        <v>60</v>
      </c>
      <c r="B516" s="31">
        <v>43453</v>
      </c>
      <c r="C516" s="28" t="s">
        <v>11</v>
      </c>
      <c r="D516" s="31">
        <v>43453</v>
      </c>
      <c r="E516" s="137"/>
      <c r="F516" s="28">
        <v>1102</v>
      </c>
      <c r="G516" s="32" t="s">
        <v>364</v>
      </c>
      <c r="H516" s="63">
        <v>4</v>
      </c>
      <c r="I516" s="63"/>
      <c r="J516" s="63">
        <f>+'INVENTARIO ABRIL-JUNIO 2021'!$H516-'INVENTARIO ABRIL-JUNIO 2021'!$I516</f>
        <v>4</v>
      </c>
      <c r="K516" s="63"/>
      <c r="L516" s="63"/>
      <c r="M516" s="63"/>
      <c r="N516" s="63"/>
      <c r="O516" s="125"/>
      <c r="P516" s="63"/>
      <c r="Q516" s="63"/>
      <c r="R516" s="63"/>
      <c r="S516" s="63"/>
      <c r="T516" s="63"/>
      <c r="U516" s="63">
        <f>+Tabla1[[#This Row],[STOCK    FISICO ENERO 2021]]-Tabla1[[#This Row],[REQUISICIONES FEBRERO 2021]]</f>
        <v>4</v>
      </c>
      <c r="V516" s="63">
        <f>+Tabla1[[#This Row],[STOCK  FEBRERO 2021]]-Tabla1[[#This Row],[REQUISICIONES MARZO 2021]]+Tabla1[[#This Row],[ENTRADAS MARZO 2021]]</f>
        <v>4</v>
      </c>
      <c r="W516" s="63">
        <f>+Tabla1[[#This Row],[STOCK MARZO 2021]]-Tabla1[[#This Row],[REQUISICIONES ABRIL 2021]]+Tabla1[[#This Row],[ENTRADAS ABRIL 2021]]</f>
        <v>4</v>
      </c>
      <c r="X516" s="63">
        <f>+Tabla1[[#This Row],[STOCK ABRIL 2021]]-Tabla1[[#This Row],[REQUISICIONES MAYO 2021]]+Tabla1[[#This Row],[ENTRADAS MAYO 2021]]</f>
        <v>4</v>
      </c>
      <c r="Y516" s="63">
        <f>+Tabla1[[#This Row],[STOCK MAYO 2021]]-Tabla1[[#This Row],[REQUISICIONES JUNIO 2021]]+Tabla1[[#This Row],[ENTRADAS JUNIO 2021]]</f>
        <v>4</v>
      </c>
      <c r="Z516" s="30" t="s">
        <v>12</v>
      </c>
      <c r="AA516" s="34">
        <v>0</v>
      </c>
      <c r="AB516" s="35">
        <f t="shared" si="17"/>
        <v>0</v>
      </c>
      <c r="AC516" s="93">
        <f>Tabla1[[#This Row],[STOCK JUNIO ]]*Tabla1[[#This Row],[COSTO UNITARIO SIN ITBIS]]</f>
        <v>0</v>
      </c>
    </row>
    <row r="517" spans="1:29" s="8" customFormat="1" x14ac:dyDescent="0.25">
      <c r="A517" s="265">
        <v>61</v>
      </c>
      <c r="B517" s="74">
        <v>44110</v>
      </c>
      <c r="C517" s="13" t="s">
        <v>11</v>
      </c>
      <c r="D517" s="74">
        <v>44110</v>
      </c>
      <c r="E517" s="145"/>
      <c r="F517" s="13"/>
      <c r="G517" s="75" t="s">
        <v>365</v>
      </c>
      <c r="H517" s="72">
        <v>207</v>
      </c>
      <c r="I517" s="72"/>
      <c r="J517" s="72">
        <f>+'INVENTARIO ABRIL-JUNIO 2021'!$H517-'INVENTARIO ABRIL-JUNIO 2021'!$I517</f>
        <v>207</v>
      </c>
      <c r="K517" s="72"/>
      <c r="L517" s="72"/>
      <c r="M517" s="72"/>
      <c r="N517" s="72"/>
      <c r="O517" s="296"/>
      <c r="P517" s="72"/>
      <c r="Q517" s="72"/>
      <c r="R517" s="72">
        <f>1+1+1</f>
        <v>3</v>
      </c>
      <c r="S517" s="72">
        <f>1+1</f>
        <v>2</v>
      </c>
      <c r="T517" s="72">
        <v>1</v>
      </c>
      <c r="U517" s="72">
        <f>+Tabla1[[#This Row],[STOCK    FISICO ENERO 2021]]-Tabla1[[#This Row],[REQUISICIONES FEBRERO 2021]]</f>
        <v>207</v>
      </c>
      <c r="V517" s="72">
        <f>+Tabla1[[#This Row],[STOCK  FEBRERO 2021]]-Tabla1[[#This Row],[REQUISICIONES MARZO 2021]]+Tabla1[[#This Row],[ENTRADAS MARZO 2021]]</f>
        <v>207</v>
      </c>
      <c r="W517" s="72">
        <f>+Tabla1[[#This Row],[STOCK MARZO 2021]]-Tabla1[[#This Row],[REQUISICIONES ABRIL 2021]]+Tabla1[[#This Row],[ENTRADAS ABRIL 2021]]</f>
        <v>204</v>
      </c>
      <c r="X517" s="72">
        <f>+Tabla1[[#This Row],[STOCK ABRIL 2021]]-Tabla1[[#This Row],[REQUISICIONES MAYO 2021]]+Tabla1[[#This Row],[ENTRADAS MAYO 2021]]</f>
        <v>202</v>
      </c>
      <c r="Y517" s="72">
        <f>+Tabla1[[#This Row],[STOCK MAYO 2021]]-Tabla1[[#This Row],[REQUISICIONES JUNIO 2021]]+Tabla1[[#This Row],[ENTRADAS JUNIO 2021]]</f>
        <v>201</v>
      </c>
      <c r="Z517" s="30" t="s">
        <v>12</v>
      </c>
      <c r="AA517" s="76">
        <v>531</v>
      </c>
      <c r="AB517" s="35">
        <f t="shared" si="17"/>
        <v>626.58000000000004</v>
      </c>
      <c r="AC517" s="93">
        <f>Tabla1[[#This Row],[STOCK JUNIO ]]*Tabla1[[#This Row],[COSTO UNITARIO SIN ITBIS]]</f>
        <v>106731</v>
      </c>
    </row>
    <row r="518" spans="1:29" s="8" customFormat="1" x14ac:dyDescent="0.25">
      <c r="A518" s="265">
        <v>62</v>
      </c>
      <c r="B518" s="31">
        <v>43089</v>
      </c>
      <c r="C518" s="28" t="s">
        <v>11</v>
      </c>
      <c r="D518" s="31">
        <v>43089</v>
      </c>
      <c r="E518" s="137"/>
      <c r="F518" s="13">
        <v>1695</v>
      </c>
      <c r="G518" s="75" t="s">
        <v>366</v>
      </c>
      <c r="H518" s="72">
        <v>9</v>
      </c>
      <c r="I518" s="72"/>
      <c r="J518" s="72">
        <f>+'INVENTARIO ABRIL-JUNIO 2021'!$H518-'INVENTARIO ABRIL-JUNIO 2021'!$I518</f>
        <v>9</v>
      </c>
      <c r="K518" s="72"/>
      <c r="L518" s="72"/>
      <c r="M518" s="72"/>
      <c r="N518" s="72"/>
      <c r="O518" s="296"/>
      <c r="P518" s="72"/>
      <c r="Q518" s="72"/>
      <c r="R518" s="72"/>
      <c r="S518" s="72"/>
      <c r="T518" s="72"/>
      <c r="U518" s="72">
        <f>+Tabla1[[#This Row],[STOCK    FISICO ENERO 2021]]-Tabla1[[#This Row],[REQUISICIONES FEBRERO 2021]]</f>
        <v>9</v>
      </c>
      <c r="V518" s="72">
        <f>+Tabla1[[#This Row],[STOCK  FEBRERO 2021]]-Tabla1[[#This Row],[REQUISICIONES MARZO 2021]]+Tabla1[[#This Row],[ENTRADAS MARZO 2021]]</f>
        <v>9</v>
      </c>
      <c r="W518" s="72">
        <f>+Tabla1[[#This Row],[STOCK MARZO 2021]]-Tabla1[[#This Row],[REQUISICIONES ABRIL 2021]]+Tabla1[[#This Row],[ENTRADAS ABRIL 2021]]</f>
        <v>9</v>
      </c>
      <c r="X518" s="72">
        <f>+Tabla1[[#This Row],[STOCK ABRIL 2021]]-Tabla1[[#This Row],[REQUISICIONES MAYO 2021]]+Tabla1[[#This Row],[ENTRADAS MAYO 2021]]</f>
        <v>9</v>
      </c>
      <c r="Y518" s="72">
        <f>+Tabla1[[#This Row],[STOCK MAYO 2021]]-Tabla1[[#This Row],[REQUISICIONES JUNIO 2021]]+Tabla1[[#This Row],[ENTRADAS JUNIO 2021]]</f>
        <v>9</v>
      </c>
      <c r="Z518" s="30" t="s">
        <v>12</v>
      </c>
      <c r="AA518" s="76">
        <v>3254.24</v>
      </c>
      <c r="AB518" s="35">
        <f t="shared" si="17"/>
        <v>3840.0031999999997</v>
      </c>
      <c r="AC518" s="93">
        <f>Tabla1[[#This Row],[STOCK JUNIO ]]*Tabla1[[#This Row],[COSTO UNITARIO SIN ITBIS]]</f>
        <v>29288.159999999996</v>
      </c>
    </row>
    <row r="519" spans="1:29" s="8" customFormat="1" x14ac:dyDescent="0.25">
      <c r="A519" s="265">
        <v>63</v>
      </c>
      <c r="B519" s="74">
        <v>44027</v>
      </c>
      <c r="C519" s="13" t="s">
        <v>11</v>
      </c>
      <c r="D519" s="74">
        <v>44027</v>
      </c>
      <c r="E519" s="145"/>
      <c r="F519" s="28">
        <v>1690</v>
      </c>
      <c r="G519" s="32" t="s">
        <v>367</v>
      </c>
      <c r="H519" s="63">
        <v>18</v>
      </c>
      <c r="I519" s="63"/>
      <c r="J519" s="63">
        <f>+'INVENTARIO ABRIL-JUNIO 2021'!$H519-'INVENTARIO ABRIL-JUNIO 2021'!$I519</f>
        <v>18</v>
      </c>
      <c r="K519" s="63"/>
      <c r="L519" s="63"/>
      <c r="M519" s="63"/>
      <c r="N519" s="63"/>
      <c r="O519" s="125"/>
      <c r="P519" s="63"/>
      <c r="Q519" s="63"/>
      <c r="R519" s="63"/>
      <c r="S519" s="63">
        <v>1</v>
      </c>
      <c r="T519" s="63">
        <v>2</v>
      </c>
      <c r="U519" s="63">
        <f>+Tabla1[[#This Row],[STOCK    FISICO ENERO 2021]]-Tabla1[[#This Row],[REQUISICIONES FEBRERO 2021]]</f>
        <v>18</v>
      </c>
      <c r="V519" s="63">
        <f>+Tabla1[[#This Row],[STOCK  FEBRERO 2021]]-Tabla1[[#This Row],[REQUISICIONES MARZO 2021]]+Tabla1[[#This Row],[ENTRADAS MARZO 2021]]</f>
        <v>18</v>
      </c>
      <c r="W519" s="63">
        <f>+Tabla1[[#This Row],[STOCK MARZO 2021]]-Tabla1[[#This Row],[REQUISICIONES ABRIL 2021]]+Tabla1[[#This Row],[ENTRADAS ABRIL 2021]]</f>
        <v>18</v>
      </c>
      <c r="X519" s="63">
        <f>+Tabla1[[#This Row],[STOCK ABRIL 2021]]-Tabla1[[#This Row],[REQUISICIONES MAYO 2021]]+Tabla1[[#This Row],[ENTRADAS MAYO 2021]]</f>
        <v>17</v>
      </c>
      <c r="Y519" s="63">
        <f>+Tabla1[[#This Row],[STOCK MAYO 2021]]-Tabla1[[#This Row],[REQUISICIONES JUNIO 2021]]+Tabla1[[#This Row],[ENTRADAS JUNIO 2021]]</f>
        <v>15</v>
      </c>
      <c r="Z519" s="30" t="s">
        <v>12</v>
      </c>
      <c r="AA519" s="34">
        <v>91.52</v>
      </c>
      <c r="AB519" s="35">
        <f t="shared" si="17"/>
        <v>107.99359999999999</v>
      </c>
      <c r="AC519" s="93">
        <f>Tabla1[[#This Row],[STOCK JUNIO ]]*Tabla1[[#This Row],[COSTO UNITARIO SIN ITBIS]]</f>
        <v>1372.8</v>
      </c>
    </row>
    <row r="520" spans="1:29" s="8" customFormat="1" x14ac:dyDescent="0.25">
      <c r="A520" s="265">
        <v>64</v>
      </c>
      <c r="B520" s="74"/>
      <c r="C520" s="13" t="s">
        <v>11</v>
      </c>
      <c r="D520" s="74"/>
      <c r="E520" s="145"/>
      <c r="F520" s="28">
        <v>1688</v>
      </c>
      <c r="G520" s="32" t="s">
        <v>635</v>
      </c>
      <c r="H520" s="63">
        <v>0</v>
      </c>
      <c r="I520" s="63"/>
      <c r="J520" s="63">
        <f>+'INVENTARIO ABRIL-JUNIO 2021'!$H520-'INVENTARIO ABRIL-JUNIO 2021'!$I520</f>
        <v>0</v>
      </c>
      <c r="K520" s="63"/>
      <c r="L520" s="63"/>
      <c r="M520" s="63"/>
      <c r="N520" s="63"/>
      <c r="O520" s="125"/>
      <c r="P520" s="63"/>
      <c r="Q520" s="63"/>
      <c r="R520" s="63"/>
      <c r="S520" s="63"/>
      <c r="T520" s="63"/>
      <c r="U520" s="63">
        <f>+Tabla1[[#This Row],[STOCK    FISICO ENERO 2021]]-Tabla1[[#This Row],[REQUISICIONES FEBRERO 2021]]</f>
        <v>0</v>
      </c>
      <c r="V520" s="63">
        <f>+Tabla1[[#This Row],[STOCK  FEBRERO 2021]]-Tabla1[[#This Row],[REQUISICIONES MARZO 2021]]+Tabla1[[#This Row],[ENTRADAS MARZO 2021]]</f>
        <v>0</v>
      </c>
      <c r="W520" s="63">
        <f>+Tabla1[[#This Row],[STOCK MARZO 2021]]-Tabla1[[#This Row],[REQUISICIONES ABRIL 2021]]+Tabla1[[#This Row],[ENTRADAS ABRIL 2021]]</f>
        <v>0</v>
      </c>
      <c r="X520" s="63">
        <f>+Tabla1[[#This Row],[STOCK ABRIL 2021]]-Tabla1[[#This Row],[REQUISICIONES MAYO 2021]]+Tabla1[[#This Row],[ENTRADAS MAYO 2021]]</f>
        <v>0</v>
      </c>
      <c r="Y520" s="63">
        <f>+Tabla1[[#This Row],[STOCK MAYO 2021]]-Tabla1[[#This Row],[REQUISICIONES JUNIO 2021]]+Tabla1[[#This Row],[ENTRADAS JUNIO 2021]]</f>
        <v>0</v>
      </c>
      <c r="Z520" s="30" t="s">
        <v>12</v>
      </c>
      <c r="AA520" s="34">
        <v>91.52</v>
      </c>
      <c r="AB520" s="35">
        <f t="shared" si="17"/>
        <v>107.99359999999999</v>
      </c>
      <c r="AC520" s="93">
        <f>Tabla1[[#This Row],[STOCK JUNIO ]]*Tabla1[[#This Row],[COSTO UNITARIO SIN ITBIS]]</f>
        <v>0</v>
      </c>
    </row>
    <row r="521" spans="1:29" s="8" customFormat="1" x14ac:dyDescent="0.25">
      <c r="A521" s="265">
        <v>65</v>
      </c>
      <c r="B521" s="31">
        <v>43089</v>
      </c>
      <c r="C521" s="28" t="s">
        <v>11</v>
      </c>
      <c r="D521" s="31">
        <v>43089</v>
      </c>
      <c r="E521" s="137"/>
      <c r="F521" s="13">
        <v>1689</v>
      </c>
      <c r="G521" s="75" t="s">
        <v>636</v>
      </c>
      <c r="H521" s="72">
        <v>14</v>
      </c>
      <c r="I521" s="72"/>
      <c r="J521" s="72">
        <f>+'INVENTARIO ABRIL-JUNIO 2021'!$H521-'INVENTARIO ABRIL-JUNIO 2021'!$I521</f>
        <v>14</v>
      </c>
      <c r="K521" s="72"/>
      <c r="L521" s="72"/>
      <c r="M521" s="72"/>
      <c r="N521" s="72"/>
      <c r="O521" s="296"/>
      <c r="P521" s="72"/>
      <c r="Q521" s="72"/>
      <c r="R521" s="72"/>
      <c r="S521" s="72"/>
      <c r="T521" s="72"/>
      <c r="U521" s="72">
        <f>+Tabla1[[#This Row],[STOCK    FISICO ENERO 2021]]-Tabla1[[#This Row],[REQUISICIONES FEBRERO 2021]]</f>
        <v>14</v>
      </c>
      <c r="V521" s="72">
        <f>+Tabla1[[#This Row],[STOCK  FEBRERO 2021]]-Tabla1[[#This Row],[REQUISICIONES MARZO 2021]]+Tabla1[[#This Row],[ENTRADAS MARZO 2021]]</f>
        <v>14</v>
      </c>
      <c r="W521" s="72">
        <f>+Tabla1[[#This Row],[STOCK MARZO 2021]]-Tabla1[[#This Row],[REQUISICIONES ABRIL 2021]]+Tabla1[[#This Row],[ENTRADAS ABRIL 2021]]</f>
        <v>14</v>
      </c>
      <c r="X521" s="72">
        <f>+Tabla1[[#This Row],[STOCK ABRIL 2021]]-Tabla1[[#This Row],[REQUISICIONES MAYO 2021]]+Tabla1[[#This Row],[ENTRADAS MAYO 2021]]</f>
        <v>14</v>
      </c>
      <c r="Y521" s="72">
        <f>+Tabla1[[#This Row],[STOCK MAYO 2021]]-Tabla1[[#This Row],[REQUISICIONES JUNIO 2021]]+Tabla1[[#This Row],[ENTRADAS JUNIO 2021]]</f>
        <v>14</v>
      </c>
      <c r="Z521" s="73" t="s">
        <v>12</v>
      </c>
      <c r="AA521" s="76">
        <v>91.52</v>
      </c>
      <c r="AB521" s="35">
        <f t="shared" ref="AB521:AB550" si="18">AA521*0.18+AA521</f>
        <v>107.99359999999999</v>
      </c>
      <c r="AC521" s="93">
        <f>Tabla1[[#This Row],[STOCK JUNIO ]]*Tabla1[[#This Row],[COSTO UNITARIO SIN ITBIS]]</f>
        <v>1281.28</v>
      </c>
    </row>
    <row r="522" spans="1:29" s="8" customFormat="1" ht="20.25" customHeight="1" x14ac:dyDescent="0.25">
      <c r="A522" s="265">
        <v>66</v>
      </c>
      <c r="B522" s="74">
        <v>44027</v>
      </c>
      <c r="C522" s="13" t="s">
        <v>11</v>
      </c>
      <c r="D522" s="74">
        <v>44027</v>
      </c>
      <c r="E522" s="145"/>
      <c r="F522" s="28">
        <v>1679</v>
      </c>
      <c r="G522" s="32" t="s">
        <v>368</v>
      </c>
      <c r="H522" s="63">
        <v>5</v>
      </c>
      <c r="I522" s="63"/>
      <c r="J522" s="63">
        <f>+'INVENTARIO ABRIL-JUNIO 2021'!$H522-'INVENTARIO ABRIL-JUNIO 2021'!$I522</f>
        <v>5</v>
      </c>
      <c r="K522" s="63"/>
      <c r="L522" s="63"/>
      <c r="M522" s="63"/>
      <c r="N522" s="63"/>
      <c r="O522" s="125"/>
      <c r="P522" s="63"/>
      <c r="Q522" s="63">
        <v>1</v>
      </c>
      <c r="R522" s="63">
        <f>2+1</f>
        <v>3</v>
      </c>
      <c r="S522" s="63">
        <v>1</v>
      </c>
      <c r="T522" s="63"/>
      <c r="U522" s="63">
        <f>+Tabla1[[#This Row],[STOCK    FISICO ENERO 2021]]-Tabla1[[#This Row],[REQUISICIONES FEBRERO 2021]]</f>
        <v>5</v>
      </c>
      <c r="V522" s="63">
        <f>+Tabla1[[#This Row],[STOCK  FEBRERO 2021]]-Tabla1[[#This Row],[REQUISICIONES MARZO 2021]]+Tabla1[[#This Row],[ENTRADAS MARZO 2021]]</f>
        <v>4</v>
      </c>
      <c r="W522" s="63">
        <f>+Tabla1[[#This Row],[STOCK MARZO 2021]]-Tabla1[[#This Row],[REQUISICIONES ABRIL 2021]]+Tabla1[[#This Row],[ENTRADAS ABRIL 2021]]</f>
        <v>1</v>
      </c>
      <c r="X522" s="63">
        <f>+Tabla1[[#This Row],[STOCK ABRIL 2021]]-Tabla1[[#This Row],[REQUISICIONES MAYO 2021]]+Tabla1[[#This Row],[ENTRADAS MAYO 2021]]</f>
        <v>0</v>
      </c>
      <c r="Y522" s="63">
        <f>+Tabla1[[#This Row],[STOCK MAYO 2021]]-Tabla1[[#This Row],[REQUISICIONES JUNIO 2021]]+Tabla1[[#This Row],[ENTRADAS JUNIO 2021]]</f>
        <v>0</v>
      </c>
      <c r="Z522" s="30" t="s">
        <v>12</v>
      </c>
      <c r="AA522" s="34">
        <v>172.88</v>
      </c>
      <c r="AB522" s="35">
        <f t="shared" si="18"/>
        <v>203.9984</v>
      </c>
      <c r="AC522" s="93">
        <f>Tabla1[[#This Row],[STOCK JUNIO ]]*Tabla1[[#This Row],[COSTO UNITARIO SIN ITBIS]]</f>
        <v>0</v>
      </c>
    </row>
    <row r="523" spans="1:29" s="8" customFormat="1" x14ac:dyDescent="0.25">
      <c r="A523" s="265">
        <v>67</v>
      </c>
      <c r="B523" s="31">
        <v>44168</v>
      </c>
      <c r="C523" s="28" t="s">
        <v>11</v>
      </c>
      <c r="D523" s="31">
        <v>44153</v>
      </c>
      <c r="E523" s="137"/>
      <c r="F523" s="13">
        <v>1680</v>
      </c>
      <c r="G523" s="75" t="s">
        <v>369</v>
      </c>
      <c r="H523" s="72">
        <v>1</v>
      </c>
      <c r="I523" s="72"/>
      <c r="J523" s="72">
        <f>+'INVENTARIO ABRIL-JUNIO 2021'!$H523-'INVENTARIO ABRIL-JUNIO 2021'!$I523</f>
        <v>1</v>
      </c>
      <c r="K523" s="72"/>
      <c r="L523" s="72"/>
      <c r="M523" s="72"/>
      <c r="N523" s="72"/>
      <c r="O523" s="296"/>
      <c r="P523" s="72"/>
      <c r="Q523" s="72"/>
      <c r="R523" s="72">
        <v>1</v>
      </c>
      <c r="S523" s="72"/>
      <c r="T523" s="72"/>
      <c r="U523" s="72">
        <f>+Tabla1[[#This Row],[STOCK    FISICO ENERO 2021]]-Tabla1[[#This Row],[REQUISICIONES FEBRERO 2021]]</f>
        <v>1</v>
      </c>
      <c r="V523" s="72">
        <f>+Tabla1[[#This Row],[STOCK  FEBRERO 2021]]-Tabla1[[#This Row],[REQUISICIONES MARZO 2021]]+Tabla1[[#This Row],[ENTRADAS MARZO 2021]]</f>
        <v>1</v>
      </c>
      <c r="W523" s="72">
        <f>+Tabla1[[#This Row],[STOCK MARZO 2021]]-Tabla1[[#This Row],[REQUISICIONES ABRIL 2021]]+Tabla1[[#This Row],[ENTRADAS ABRIL 2021]]</f>
        <v>0</v>
      </c>
      <c r="X523" s="72">
        <f>+Tabla1[[#This Row],[STOCK ABRIL 2021]]-Tabla1[[#This Row],[REQUISICIONES MAYO 2021]]+Tabla1[[#This Row],[ENTRADAS MAYO 2021]]</f>
        <v>0</v>
      </c>
      <c r="Y523" s="72">
        <f>+Tabla1[[#This Row],[STOCK MAYO 2021]]-Tabla1[[#This Row],[REQUISICIONES JUNIO 2021]]+Tabla1[[#This Row],[ENTRADAS JUNIO 2021]]</f>
        <v>0</v>
      </c>
      <c r="Z523" s="73" t="s">
        <v>12</v>
      </c>
      <c r="AA523" s="76">
        <v>584.74</v>
      </c>
      <c r="AB523" s="35">
        <f t="shared" si="18"/>
        <v>689.9932</v>
      </c>
      <c r="AC523" s="93">
        <f>Tabla1[[#This Row],[STOCK JUNIO ]]*Tabla1[[#This Row],[COSTO UNITARIO SIN ITBIS]]</f>
        <v>0</v>
      </c>
    </row>
    <row r="524" spans="1:29" s="8" customFormat="1" x14ac:dyDescent="0.25">
      <c r="A524" s="265">
        <v>68</v>
      </c>
      <c r="B524" s="74">
        <v>44168</v>
      </c>
      <c r="C524" s="13" t="s">
        <v>11</v>
      </c>
      <c r="D524" s="74">
        <v>44151</v>
      </c>
      <c r="E524" s="145"/>
      <c r="F524" s="13">
        <v>1685</v>
      </c>
      <c r="G524" s="75" t="s">
        <v>370</v>
      </c>
      <c r="H524" s="72">
        <v>12</v>
      </c>
      <c r="I524" s="72"/>
      <c r="J524" s="72">
        <f>+'INVENTARIO ABRIL-JUNIO 2021'!$H524-'INVENTARIO ABRIL-JUNIO 2021'!$I524</f>
        <v>12</v>
      </c>
      <c r="K524" s="72"/>
      <c r="L524" s="72"/>
      <c r="M524" s="72"/>
      <c r="N524" s="72"/>
      <c r="O524" s="296"/>
      <c r="P524" s="72"/>
      <c r="Q524" s="72"/>
      <c r="R524" s="72"/>
      <c r="S524" s="72"/>
      <c r="T524" s="72">
        <v>1</v>
      </c>
      <c r="U524" s="72">
        <f>+Tabla1[[#This Row],[STOCK    FISICO ENERO 2021]]-Tabla1[[#This Row],[REQUISICIONES FEBRERO 2021]]</f>
        <v>12</v>
      </c>
      <c r="V524" s="72">
        <f>+Tabla1[[#This Row],[STOCK  FEBRERO 2021]]-Tabla1[[#This Row],[REQUISICIONES MARZO 2021]]+Tabla1[[#This Row],[ENTRADAS MARZO 2021]]</f>
        <v>12</v>
      </c>
      <c r="W524" s="72">
        <f>+Tabla1[[#This Row],[STOCK MARZO 2021]]-Tabla1[[#This Row],[REQUISICIONES ABRIL 2021]]+Tabla1[[#This Row],[ENTRADAS ABRIL 2021]]</f>
        <v>12</v>
      </c>
      <c r="X524" s="72">
        <f>+Tabla1[[#This Row],[STOCK ABRIL 2021]]-Tabla1[[#This Row],[REQUISICIONES MAYO 2021]]+Tabla1[[#This Row],[ENTRADAS MAYO 2021]]</f>
        <v>12</v>
      </c>
      <c r="Y524" s="72">
        <f>+Tabla1[[#This Row],[STOCK MAYO 2021]]-Tabla1[[#This Row],[REQUISICIONES JUNIO 2021]]+Tabla1[[#This Row],[ENTRADAS JUNIO 2021]]</f>
        <v>11</v>
      </c>
      <c r="Z524" s="73" t="s">
        <v>12</v>
      </c>
      <c r="AA524" s="76">
        <v>274.58</v>
      </c>
      <c r="AB524" s="35">
        <f t="shared" si="18"/>
        <v>324.00439999999998</v>
      </c>
      <c r="AC524" s="93">
        <f>Tabla1[[#This Row],[STOCK JUNIO ]]*Tabla1[[#This Row],[COSTO UNITARIO SIN ITBIS]]</f>
        <v>3020.3799999999997</v>
      </c>
    </row>
    <row r="525" spans="1:29" s="8" customFormat="1" x14ac:dyDescent="0.25">
      <c r="A525" s="265">
        <v>69</v>
      </c>
      <c r="B525" s="31">
        <v>44168</v>
      </c>
      <c r="C525" s="28" t="s">
        <v>11</v>
      </c>
      <c r="D525" s="31">
        <v>44153</v>
      </c>
      <c r="E525" s="137"/>
      <c r="F525" s="13">
        <v>1683</v>
      </c>
      <c r="G525" s="75" t="s">
        <v>371</v>
      </c>
      <c r="H525" s="72">
        <v>18</v>
      </c>
      <c r="I525" s="72"/>
      <c r="J525" s="72">
        <f>+'INVENTARIO ABRIL-JUNIO 2021'!$H525-'INVENTARIO ABRIL-JUNIO 2021'!$I525</f>
        <v>18</v>
      </c>
      <c r="K525" s="72"/>
      <c r="L525" s="72"/>
      <c r="M525" s="72"/>
      <c r="N525" s="72"/>
      <c r="O525" s="296"/>
      <c r="P525" s="72"/>
      <c r="Q525" s="72"/>
      <c r="R525" s="72"/>
      <c r="S525" s="72"/>
      <c r="T525" s="72"/>
      <c r="U525" s="72">
        <f>+Tabla1[[#This Row],[STOCK    FISICO ENERO 2021]]-Tabla1[[#This Row],[REQUISICIONES FEBRERO 2021]]</f>
        <v>18</v>
      </c>
      <c r="V525" s="72">
        <f>+Tabla1[[#This Row],[STOCK  FEBRERO 2021]]-Tabla1[[#This Row],[REQUISICIONES MARZO 2021]]+Tabla1[[#This Row],[ENTRADAS MARZO 2021]]</f>
        <v>18</v>
      </c>
      <c r="W525" s="72">
        <f>+Tabla1[[#This Row],[STOCK MARZO 2021]]-Tabla1[[#This Row],[REQUISICIONES ABRIL 2021]]+Tabla1[[#This Row],[ENTRADAS ABRIL 2021]]</f>
        <v>18</v>
      </c>
      <c r="X525" s="72">
        <f>+Tabla1[[#This Row],[STOCK ABRIL 2021]]-Tabla1[[#This Row],[REQUISICIONES MAYO 2021]]+Tabla1[[#This Row],[ENTRADAS MAYO 2021]]</f>
        <v>18</v>
      </c>
      <c r="Y525" s="72">
        <f>+Tabla1[[#This Row],[STOCK MAYO 2021]]-Tabla1[[#This Row],[REQUISICIONES JUNIO 2021]]+Tabla1[[#This Row],[ENTRADAS JUNIO 2021]]</f>
        <v>18</v>
      </c>
      <c r="Z525" s="73" t="s">
        <v>12</v>
      </c>
      <c r="AA525" s="76">
        <v>335.59</v>
      </c>
      <c r="AB525" s="35">
        <f t="shared" si="18"/>
        <v>395.99619999999999</v>
      </c>
      <c r="AC525" s="93">
        <f>Tabla1[[#This Row],[STOCK JUNIO ]]*Tabla1[[#This Row],[COSTO UNITARIO SIN ITBIS]]</f>
        <v>6040.62</v>
      </c>
    </row>
    <row r="526" spans="1:29" s="8" customFormat="1" x14ac:dyDescent="0.25">
      <c r="A526" s="265">
        <v>70</v>
      </c>
      <c r="B526" s="74">
        <v>44027</v>
      </c>
      <c r="C526" s="13" t="s">
        <v>11</v>
      </c>
      <c r="D526" s="74">
        <v>44027</v>
      </c>
      <c r="E526" s="145"/>
      <c r="F526" s="13">
        <v>1684</v>
      </c>
      <c r="G526" s="75" t="s">
        <v>372</v>
      </c>
      <c r="H526" s="72">
        <v>15</v>
      </c>
      <c r="I526" s="72"/>
      <c r="J526" s="72">
        <f>+'INVENTARIO ABRIL-JUNIO 2021'!$H526-'INVENTARIO ABRIL-JUNIO 2021'!$I526</f>
        <v>15</v>
      </c>
      <c r="K526" s="72"/>
      <c r="L526" s="72"/>
      <c r="M526" s="72"/>
      <c r="N526" s="72"/>
      <c r="O526" s="296"/>
      <c r="P526" s="72"/>
      <c r="Q526" s="72"/>
      <c r="R526" s="72"/>
      <c r="S526" s="72"/>
      <c r="T526" s="72"/>
      <c r="U526" s="72">
        <f>+Tabla1[[#This Row],[STOCK    FISICO ENERO 2021]]-Tabla1[[#This Row],[REQUISICIONES FEBRERO 2021]]</f>
        <v>15</v>
      </c>
      <c r="V526" s="72">
        <f>+Tabla1[[#This Row],[STOCK  FEBRERO 2021]]-Tabla1[[#This Row],[REQUISICIONES MARZO 2021]]+Tabla1[[#This Row],[ENTRADAS MARZO 2021]]</f>
        <v>15</v>
      </c>
      <c r="W526" s="72">
        <f>+Tabla1[[#This Row],[STOCK MARZO 2021]]-Tabla1[[#This Row],[REQUISICIONES ABRIL 2021]]+Tabla1[[#This Row],[ENTRADAS ABRIL 2021]]</f>
        <v>15</v>
      </c>
      <c r="X526" s="72">
        <f>+Tabla1[[#This Row],[STOCK ABRIL 2021]]-Tabla1[[#This Row],[REQUISICIONES MAYO 2021]]+Tabla1[[#This Row],[ENTRADAS MAYO 2021]]</f>
        <v>15</v>
      </c>
      <c r="Y526" s="72">
        <f>+Tabla1[[#This Row],[STOCK MAYO 2021]]-Tabla1[[#This Row],[REQUISICIONES JUNIO 2021]]+Tabla1[[#This Row],[ENTRADAS JUNIO 2021]]</f>
        <v>15</v>
      </c>
      <c r="Z526" s="73" t="s">
        <v>12</v>
      </c>
      <c r="AA526" s="76">
        <v>183.05</v>
      </c>
      <c r="AB526" s="35">
        <f t="shared" si="18"/>
        <v>215.99900000000002</v>
      </c>
      <c r="AC526" s="93">
        <f>Tabla1[[#This Row],[STOCK JUNIO ]]*Tabla1[[#This Row],[COSTO UNITARIO SIN ITBIS]]</f>
        <v>2745.75</v>
      </c>
    </row>
    <row r="527" spans="1:29" s="8" customFormat="1" x14ac:dyDescent="0.25">
      <c r="A527" s="265">
        <v>71</v>
      </c>
      <c r="B527" s="31">
        <v>44168</v>
      </c>
      <c r="C527" s="28" t="s">
        <v>11</v>
      </c>
      <c r="D527" s="31">
        <v>44153</v>
      </c>
      <c r="E527" s="137"/>
      <c r="F527" s="28">
        <v>1687</v>
      </c>
      <c r="G527" s="32" t="s">
        <v>373</v>
      </c>
      <c r="H527" s="63">
        <v>1</v>
      </c>
      <c r="I527" s="63"/>
      <c r="J527" s="63">
        <f>+'INVENTARIO ABRIL-JUNIO 2021'!$H527-'INVENTARIO ABRIL-JUNIO 2021'!$I527</f>
        <v>1</v>
      </c>
      <c r="K527" s="63"/>
      <c r="L527" s="63"/>
      <c r="M527" s="63"/>
      <c r="N527" s="63"/>
      <c r="O527" s="125"/>
      <c r="P527" s="63"/>
      <c r="Q527" s="63"/>
      <c r="R527" s="63">
        <v>1</v>
      </c>
      <c r="S527" s="63"/>
      <c r="T527" s="63"/>
      <c r="U527" s="63">
        <f>+Tabla1[[#This Row],[STOCK    FISICO ENERO 2021]]-Tabla1[[#This Row],[REQUISICIONES FEBRERO 2021]]</f>
        <v>1</v>
      </c>
      <c r="V527" s="63">
        <f>+Tabla1[[#This Row],[STOCK  FEBRERO 2021]]-Tabla1[[#This Row],[REQUISICIONES MARZO 2021]]+Tabla1[[#This Row],[ENTRADAS MARZO 2021]]</f>
        <v>1</v>
      </c>
      <c r="W527" s="63">
        <f>+Tabla1[[#This Row],[STOCK MARZO 2021]]-Tabla1[[#This Row],[REQUISICIONES ABRIL 2021]]+Tabla1[[#This Row],[ENTRADAS ABRIL 2021]]</f>
        <v>0</v>
      </c>
      <c r="X527" s="63">
        <f>+Tabla1[[#This Row],[STOCK ABRIL 2021]]-Tabla1[[#This Row],[REQUISICIONES MAYO 2021]]+Tabla1[[#This Row],[ENTRADAS MAYO 2021]]</f>
        <v>0</v>
      </c>
      <c r="Y527" s="63">
        <f>+Tabla1[[#This Row],[STOCK MAYO 2021]]-Tabla1[[#This Row],[REQUISICIONES JUNIO 2021]]+Tabla1[[#This Row],[ENTRADAS JUNIO 2021]]</f>
        <v>0</v>
      </c>
      <c r="Z527" s="30" t="s">
        <v>12</v>
      </c>
      <c r="AA527" s="34">
        <v>15.25</v>
      </c>
      <c r="AB527" s="35">
        <f t="shared" si="18"/>
        <v>17.995000000000001</v>
      </c>
      <c r="AC527" s="93">
        <f>Tabla1[[#This Row],[STOCK JUNIO ]]*Tabla1[[#This Row],[COSTO UNITARIO SIN ITBIS]]</f>
        <v>0</v>
      </c>
    </row>
    <row r="528" spans="1:29" s="8" customFormat="1" x14ac:dyDescent="0.25">
      <c r="A528" s="265">
        <v>72</v>
      </c>
      <c r="B528" s="74">
        <v>44026</v>
      </c>
      <c r="C528" s="13" t="s">
        <v>11</v>
      </c>
      <c r="D528" s="74">
        <v>44026</v>
      </c>
      <c r="E528" s="145"/>
      <c r="F528" s="13">
        <v>1125</v>
      </c>
      <c r="G528" s="75" t="s">
        <v>374</v>
      </c>
      <c r="H528" s="72">
        <v>6</v>
      </c>
      <c r="I528" s="72"/>
      <c r="J528" s="72">
        <f>+'INVENTARIO ABRIL-JUNIO 2021'!$H528-'INVENTARIO ABRIL-JUNIO 2021'!$I528</f>
        <v>6</v>
      </c>
      <c r="K528" s="72"/>
      <c r="L528" s="72"/>
      <c r="M528" s="72"/>
      <c r="N528" s="72"/>
      <c r="O528" s="296"/>
      <c r="P528" s="72"/>
      <c r="Q528" s="72"/>
      <c r="R528" s="72"/>
      <c r="S528" s="72"/>
      <c r="T528" s="72"/>
      <c r="U528" s="72">
        <f>+Tabla1[[#This Row],[STOCK    FISICO ENERO 2021]]-Tabla1[[#This Row],[REQUISICIONES FEBRERO 2021]]</f>
        <v>6</v>
      </c>
      <c r="V528" s="72">
        <f>+Tabla1[[#This Row],[STOCK  FEBRERO 2021]]-Tabla1[[#This Row],[REQUISICIONES MARZO 2021]]+Tabla1[[#This Row],[ENTRADAS MARZO 2021]]</f>
        <v>6</v>
      </c>
      <c r="W528" s="72">
        <f>+Tabla1[[#This Row],[STOCK MARZO 2021]]-Tabla1[[#This Row],[REQUISICIONES ABRIL 2021]]+Tabla1[[#This Row],[ENTRADAS ABRIL 2021]]</f>
        <v>6</v>
      </c>
      <c r="X528" s="72">
        <f>+Tabla1[[#This Row],[STOCK ABRIL 2021]]-Tabla1[[#This Row],[REQUISICIONES MAYO 2021]]+Tabla1[[#This Row],[ENTRADAS MAYO 2021]]</f>
        <v>6</v>
      </c>
      <c r="Y528" s="72">
        <f>+Tabla1[[#This Row],[STOCK MAYO 2021]]-Tabla1[[#This Row],[REQUISICIONES JUNIO 2021]]+Tabla1[[#This Row],[ENTRADAS JUNIO 2021]]</f>
        <v>6</v>
      </c>
      <c r="Z528" s="73" t="s">
        <v>12</v>
      </c>
      <c r="AA528" s="76">
        <v>141.86000000000001</v>
      </c>
      <c r="AB528" s="35">
        <f t="shared" si="18"/>
        <v>167.3948</v>
      </c>
      <c r="AC528" s="93">
        <f>Tabla1[[#This Row],[STOCK JUNIO ]]*Tabla1[[#This Row],[COSTO UNITARIO SIN ITBIS]]</f>
        <v>851.16000000000008</v>
      </c>
    </row>
    <row r="529" spans="1:29" s="8" customFormat="1" x14ac:dyDescent="0.25">
      <c r="A529" s="265">
        <v>73</v>
      </c>
      <c r="B529" s="31">
        <v>44026</v>
      </c>
      <c r="C529" s="28" t="s">
        <v>11</v>
      </c>
      <c r="D529" s="31">
        <v>44026</v>
      </c>
      <c r="E529" s="137"/>
      <c r="F529" s="13">
        <v>1697</v>
      </c>
      <c r="G529" s="75" t="s">
        <v>375</v>
      </c>
      <c r="H529" s="72">
        <v>81</v>
      </c>
      <c r="I529" s="72"/>
      <c r="J529" s="72">
        <f>+'INVENTARIO ABRIL-JUNIO 2021'!$H529-'INVENTARIO ABRIL-JUNIO 2021'!$I529</f>
        <v>81</v>
      </c>
      <c r="K529" s="72"/>
      <c r="L529" s="72"/>
      <c r="M529" s="72"/>
      <c r="N529" s="72"/>
      <c r="O529" s="296"/>
      <c r="P529" s="72"/>
      <c r="Q529" s="72"/>
      <c r="R529" s="72"/>
      <c r="S529" s="72"/>
      <c r="T529" s="72">
        <f>1+1</f>
        <v>2</v>
      </c>
      <c r="U529" s="72">
        <f>+Tabla1[[#This Row],[STOCK    FISICO ENERO 2021]]-Tabla1[[#This Row],[REQUISICIONES FEBRERO 2021]]</f>
        <v>81</v>
      </c>
      <c r="V529" s="72">
        <f>+Tabla1[[#This Row],[STOCK  FEBRERO 2021]]-Tabla1[[#This Row],[REQUISICIONES MARZO 2021]]+Tabla1[[#This Row],[ENTRADAS MARZO 2021]]</f>
        <v>81</v>
      </c>
      <c r="W529" s="72">
        <f>+Tabla1[[#This Row],[STOCK MARZO 2021]]-Tabla1[[#This Row],[REQUISICIONES ABRIL 2021]]+Tabla1[[#This Row],[ENTRADAS ABRIL 2021]]</f>
        <v>81</v>
      </c>
      <c r="X529" s="72">
        <f>+Tabla1[[#This Row],[STOCK ABRIL 2021]]-Tabla1[[#This Row],[REQUISICIONES MAYO 2021]]+Tabla1[[#This Row],[ENTRADAS MAYO 2021]]</f>
        <v>81</v>
      </c>
      <c r="Y529" s="72">
        <f>+Tabla1[[#This Row],[STOCK MAYO 2021]]-Tabla1[[#This Row],[REQUISICIONES JUNIO 2021]]+Tabla1[[#This Row],[ENTRADAS JUNIO 2021]]</f>
        <v>79</v>
      </c>
      <c r="Z529" s="73" t="s">
        <v>12</v>
      </c>
      <c r="AA529" s="76">
        <v>45.77</v>
      </c>
      <c r="AB529" s="35">
        <f t="shared" si="18"/>
        <v>54.008600000000001</v>
      </c>
      <c r="AC529" s="93">
        <f>Tabla1[[#This Row],[STOCK JUNIO ]]*Tabla1[[#This Row],[COSTO UNITARIO SIN ITBIS]]</f>
        <v>3615.8300000000004</v>
      </c>
    </row>
    <row r="530" spans="1:29" s="8" customFormat="1" x14ac:dyDescent="0.25">
      <c r="A530" s="265">
        <v>74</v>
      </c>
      <c r="B530" s="31">
        <v>43088</v>
      </c>
      <c r="C530" s="28" t="s">
        <v>11</v>
      </c>
      <c r="D530" s="31">
        <v>43088</v>
      </c>
      <c r="E530" s="137"/>
      <c r="F530" s="28">
        <v>1696</v>
      </c>
      <c r="G530" s="32" t="s">
        <v>376</v>
      </c>
      <c r="H530" s="63">
        <v>93</v>
      </c>
      <c r="I530" s="63"/>
      <c r="J530" s="63">
        <f>+'INVENTARIO ABRIL-JUNIO 2021'!$H530-'INVENTARIO ABRIL-JUNIO 2021'!$I530</f>
        <v>93</v>
      </c>
      <c r="K530" s="63"/>
      <c r="L530" s="63"/>
      <c r="M530" s="63"/>
      <c r="N530" s="63"/>
      <c r="O530" s="125"/>
      <c r="P530" s="63"/>
      <c r="Q530" s="63"/>
      <c r="R530" s="63">
        <f>4+1+1</f>
        <v>6</v>
      </c>
      <c r="S530" s="63">
        <v>1</v>
      </c>
      <c r="T530" s="63">
        <f>1+1</f>
        <v>2</v>
      </c>
      <c r="U530" s="63">
        <f>+Tabla1[[#This Row],[STOCK    FISICO ENERO 2021]]-Tabla1[[#This Row],[REQUISICIONES FEBRERO 2021]]</f>
        <v>93</v>
      </c>
      <c r="V530" s="63">
        <f>+Tabla1[[#This Row],[STOCK  FEBRERO 2021]]-Tabla1[[#This Row],[REQUISICIONES MARZO 2021]]+Tabla1[[#This Row],[ENTRADAS MARZO 2021]]</f>
        <v>93</v>
      </c>
      <c r="W530" s="63">
        <f>+Tabla1[[#This Row],[STOCK MARZO 2021]]-Tabla1[[#This Row],[REQUISICIONES ABRIL 2021]]+Tabla1[[#This Row],[ENTRADAS ABRIL 2021]]</f>
        <v>87</v>
      </c>
      <c r="X530" s="63">
        <f>+Tabla1[[#This Row],[STOCK ABRIL 2021]]-Tabla1[[#This Row],[REQUISICIONES MAYO 2021]]+Tabla1[[#This Row],[ENTRADAS MAYO 2021]]</f>
        <v>86</v>
      </c>
      <c r="Y530" s="63">
        <f>+Tabla1[[#This Row],[STOCK MAYO 2021]]-Tabla1[[#This Row],[REQUISICIONES JUNIO 2021]]+Tabla1[[#This Row],[ENTRADAS JUNIO 2021]]</f>
        <v>84</v>
      </c>
      <c r="Z530" s="30" t="s">
        <v>12</v>
      </c>
      <c r="AA530" s="34">
        <v>56.4</v>
      </c>
      <c r="AB530" s="35">
        <f t="shared" si="18"/>
        <v>66.551999999999992</v>
      </c>
      <c r="AC530" s="93">
        <f>Tabla1[[#This Row],[STOCK JUNIO ]]*Tabla1[[#This Row],[COSTO UNITARIO SIN ITBIS]]</f>
        <v>4737.5999999999995</v>
      </c>
    </row>
    <row r="531" spans="1:29" s="8" customFormat="1" x14ac:dyDescent="0.25">
      <c r="A531" s="265">
        <v>75</v>
      </c>
      <c r="B531" s="74">
        <v>43088</v>
      </c>
      <c r="C531" s="13" t="s">
        <v>11</v>
      </c>
      <c r="D531" s="74">
        <v>43088</v>
      </c>
      <c r="E531" s="145"/>
      <c r="F531" s="13"/>
      <c r="G531" s="75" t="s">
        <v>377</v>
      </c>
      <c r="H531" s="72">
        <v>2</v>
      </c>
      <c r="I531" s="72"/>
      <c r="J531" s="72">
        <f>+'INVENTARIO ABRIL-JUNIO 2021'!$H531-'INVENTARIO ABRIL-JUNIO 2021'!$I531</f>
        <v>2</v>
      </c>
      <c r="K531" s="72"/>
      <c r="L531" s="72"/>
      <c r="M531" s="72"/>
      <c r="N531" s="72"/>
      <c r="O531" s="296"/>
      <c r="P531" s="72"/>
      <c r="Q531" s="72"/>
      <c r="R531" s="72"/>
      <c r="S531" s="72"/>
      <c r="T531" s="72">
        <v>1</v>
      </c>
      <c r="U531" s="72">
        <f>+Tabla1[[#This Row],[STOCK    FISICO ENERO 2021]]-Tabla1[[#This Row],[REQUISICIONES FEBRERO 2021]]</f>
        <v>2</v>
      </c>
      <c r="V531" s="72">
        <f>+Tabla1[[#This Row],[STOCK  FEBRERO 2021]]-Tabla1[[#This Row],[REQUISICIONES MARZO 2021]]+Tabla1[[#This Row],[ENTRADAS MARZO 2021]]</f>
        <v>2</v>
      </c>
      <c r="W531" s="72">
        <f>+Tabla1[[#This Row],[STOCK MARZO 2021]]-Tabla1[[#This Row],[REQUISICIONES ABRIL 2021]]+Tabla1[[#This Row],[ENTRADAS ABRIL 2021]]</f>
        <v>2</v>
      </c>
      <c r="X531" s="72">
        <f>+Tabla1[[#This Row],[STOCK ABRIL 2021]]-Tabla1[[#This Row],[REQUISICIONES MAYO 2021]]+Tabla1[[#This Row],[ENTRADAS MAYO 2021]]</f>
        <v>2</v>
      </c>
      <c r="Y531" s="72">
        <f>+Tabla1[[#This Row],[STOCK MAYO 2021]]-Tabla1[[#This Row],[REQUISICIONES JUNIO 2021]]+Tabla1[[#This Row],[ENTRADAS JUNIO 2021]]</f>
        <v>1</v>
      </c>
      <c r="Z531" s="30" t="s">
        <v>12</v>
      </c>
      <c r="AA531" s="76">
        <v>536.9</v>
      </c>
      <c r="AB531" s="35">
        <f t="shared" si="18"/>
        <v>633.54199999999992</v>
      </c>
      <c r="AC531" s="93">
        <f>Tabla1[[#This Row],[STOCK JUNIO ]]*Tabla1[[#This Row],[COSTO UNITARIO SIN ITBIS]]</f>
        <v>536.9</v>
      </c>
    </row>
    <row r="532" spans="1:29" s="8" customFormat="1" x14ac:dyDescent="0.25">
      <c r="A532" s="265">
        <v>76</v>
      </c>
      <c r="B532" s="74">
        <v>44027</v>
      </c>
      <c r="C532" s="13" t="s">
        <v>11</v>
      </c>
      <c r="D532" s="74">
        <v>44027</v>
      </c>
      <c r="E532" s="145"/>
      <c r="F532" s="13" t="s">
        <v>20</v>
      </c>
      <c r="G532" s="75" t="s">
        <v>378</v>
      </c>
      <c r="H532" s="72">
        <v>10</v>
      </c>
      <c r="I532" s="72"/>
      <c r="J532" s="72">
        <f>+'INVENTARIO ABRIL-JUNIO 2021'!$H532-'INVENTARIO ABRIL-JUNIO 2021'!$I532</f>
        <v>10</v>
      </c>
      <c r="K532" s="72"/>
      <c r="L532" s="72"/>
      <c r="M532" s="72"/>
      <c r="N532" s="72"/>
      <c r="O532" s="296"/>
      <c r="P532" s="72"/>
      <c r="Q532" s="72">
        <v>4</v>
      </c>
      <c r="R532" s="72"/>
      <c r="S532" s="72"/>
      <c r="T532" s="72">
        <v>1</v>
      </c>
      <c r="U532" s="72">
        <f>+Tabla1[[#This Row],[STOCK    FISICO ENERO 2021]]-Tabla1[[#This Row],[REQUISICIONES FEBRERO 2021]]</f>
        <v>10</v>
      </c>
      <c r="V532" s="72">
        <f>+Tabla1[[#This Row],[STOCK  FEBRERO 2021]]-Tabla1[[#This Row],[REQUISICIONES MARZO 2021]]+Tabla1[[#This Row],[ENTRADAS MARZO 2021]]</f>
        <v>6</v>
      </c>
      <c r="W532" s="72">
        <f>+Tabla1[[#This Row],[STOCK MARZO 2021]]-Tabla1[[#This Row],[REQUISICIONES ABRIL 2021]]+Tabla1[[#This Row],[ENTRADAS ABRIL 2021]]</f>
        <v>6</v>
      </c>
      <c r="X532" s="72">
        <f>+Tabla1[[#This Row],[STOCK ABRIL 2021]]-Tabla1[[#This Row],[REQUISICIONES MAYO 2021]]+Tabla1[[#This Row],[ENTRADAS MAYO 2021]]</f>
        <v>6</v>
      </c>
      <c r="Y532" s="72">
        <f>+Tabla1[[#This Row],[STOCK MAYO 2021]]-Tabla1[[#This Row],[REQUISICIONES JUNIO 2021]]+Tabla1[[#This Row],[ENTRADAS JUNIO 2021]]</f>
        <v>5</v>
      </c>
      <c r="Z532" s="73" t="s">
        <v>12</v>
      </c>
      <c r="AA532" s="76">
        <v>0</v>
      </c>
      <c r="AB532" s="35">
        <f t="shared" si="18"/>
        <v>0</v>
      </c>
      <c r="AC532" s="93">
        <f>Tabla1[[#This Row],[STOCK JUNIO ]]*Tabla1[[#This Row],[COSTO UNITARIO SIN ITBIS]]</f>
        <v>0</v>
      </c>
    </row>
    <row r="533" spans="1:29" s="8" customFormat="1" x14ac:dyDescent="0.25">
      <c r="A533" s="265">
        <v>77</v>
      </c>
      <c r="B533" s="31">
        <v>43088</v>
      </c>
      <c r="C533" s="28" t="s">
        <v>11</v>
      </c>
      <c r="D533" s="31">
        <v>43088</v>
      </c>
      <c r="E533" s="137"/>
      <c r="F533" s="28">
        <v>1692</v>
      </c>
      <c r="G533" s="32" t="s">
        <v>637</v>
      </c>
      <c r="H533" s="63">
        <v>2</v>
      </c>
      <c r="I533" s="63"/>
      <c r="J533" s="63">
        <f>+'INVENTARIO ABRIL-JUNIO 2021'!$H533-'INVENTARIO ABRIL-JUNIO 2021'!$I533</f>
        <v>2</v>
      </c>
      <c r="K533" s="63"/>
      <c r="L533" s="63"/>
      <c r="M533" s="63"/>
      <c r="N533" s="63"/>
      <c r="O533" s="125"/>
      <c r="P533" s="63"/>
      <c r="Q533" s="63"/>
      <c r="R533" s="63"/>
      <c r="S533" s="63"/>
      <c r="T533" s="63"/>
      <c r="U533" s="63">
        <f>+Tabla1[[#This Row],[STOCK    FISICO ENERO 2021]]-Tabla1[[#This Row],[REQUISICIONES FEBRERO 2021]]</f>
        <v>2</v>
      </c>
      <c r="V533" s="63">
        <f>+Tabla1[[#This Row],[STOCK  FEBRERO 2021]]-Tabla1[[#This Row],[REQUISICIONES MARZO 2021]]+Tabla1[[#This Row],[ENTRADAS MARZO 2021]]</f>
        <v>2</v>
      </c>
      <c r="W533" s="63">
        <f>+Tabla1[[#This Row],[STOCK MARZO 2021]]-Tabla1[[#This Row],[REQUISICIONES ABRIL 2021]]+Tabla1[[#This Row],[ENTRADAS ABRIL 2021]]</f>
        <v>2</v>
      </c>
      <c r="X533" s="63">
        <f>+Tabla1[[#This Row],[STOCK ABRIL 2021]]-Tabla1[[#This Row],[REQUISICIONES MAYO 2021]]+Tabla1[[#This Row],[ENTRADAS MAYO 2021]]</f>
        <v>2</v>
      </c>
      <c r="Y533" s="63">
        <f>+Tabla1[[#This Row],[STOCK MAYO 2021]]-Tabla1[[#This Row],[REQUISICIONES JUNIO 2021]]+Tabla1[[#This Row],[ENTRADAS JUNIO 2021]]</f>
        <v>2</v>
      </c>
      <c r="Z533" s="30" t="s">
        <v>12</v>
      </c>
      <c r="AA533" s="34">
        <v>1444.07</v>
      </c>
      <c r="AB533" s="35">
        <f t="shared" si="18"/>
        <v>1704.0025999999998</v>
      </c>
      <c r="AC533" s="93">
        <f>Tabla1[[#This Row],[STOCK JUNIO ]]*Tabla1[[#This Row],[COSTO UNITARIO SIN ITBIS]]</f>
        <v>2888.14</v>
      </c>
    </row>
    <row r="534" spans="1:29" s="8" customFormat="1" x14ac:dyDescent="0.25">
      <c r="A534" s="265">
        <v>78</v>
      </c>
      <c r="B534" s="74">
        <v>44027</v>
      </c>
      <c r="C534" s="13" t="s">
        <v>11</v>
      </c>
      <c r="D534" s="74">
        <v>44027</v>
      </c>
      <c r="E534" s="145"/>
      <c r="F534" s="13">
        <v>1694</v>
      </c>
      <c r="G534" s="75" t="s">
        <v>379</v>
      </c>
      <c r="H534" s="72">
        <v>16</v>
      </c>
      <c r="I534" s="72"/>
      <c r="J534" s="72">
        <f>+'INVENTARIO ABRIL-JUNIO 2021'!$H534-'INVENTARIO ABRIL-JUNIO 2021'!$I534</f>
        <v>16</v>
      </c>
      <c r="K534" s="72"/>
      <c r="L534" s="72"/>
      <c r="M534" s="72"/>
      <c r="N534" s="72"/>
      <c r="O534" s="296"/>
      <c r="P534" s="72"/>
      <c r="Q534" s="72"/>
      <c r="R534" s="72"/>
      <c r="S534" s="72"/>
      <c r="T534" s="72"/>
      <c r="U534" s="72">
        <f>+Tabla1[[#This Row],[STOCK    FISICO ENERO 2021]]-Tabla1[[#This Row],[REQUISICIONES FEBRERO 2021]]</f>
        <v>16</v>
      </c>
      <c r="V534" s="72">
        <f>+Tabla1[[#This Row],[STOCK  FEBRERO 2021]]-Tabla1[[#This Row],[REQUISICIONES MARZO 2021]]+Tabla1[[#This Row],[ENTRADAS MARZO 2021]]</f>
        <v>16</v>
      </c>
      <c r="W534" s="72">
        <f>+Tabla1[[#This Row],[STOCK MARZO 2021]]-Tabla1[[#This Row],[REQUISICIONES ABRIL 2021]]+Tabla1[[#This Row],[ENTRADAS ABRIL 2021]]</f>
        <v>16</v>
      </c>
      <c r="X534" s="72">
        <f>+Tabla1[[#This Row],[STOCK ABRIL 2021]]-Tabla1[[#This Row],[REQUISICIONES MAYO 2021]]+Tabla1[[#This Row],[ENTRADAS MAYO 2021]]</f>
        <v>16</v>
      </c>
      <c r="Y534" s="72">
        <f>+Tabla1[[#This Row],[STOCK MAYO 2021]]-Tabla1[[#This Row],[REQUISICIONES JUNIO 2021]]+Tabla1[[#This Row],[ENTRADAS JUNIO 2021]]</f>
        <v>16</v>
      </c>
      <c r="Z534" s="73" t="s">
        <v>12</v>
      </c>
      <c r="AA534" s="76">
        <v>1014</v>
      </c>
      <c r="AB534" s="35">
        <f t="shared" si="18"/>
        <v>1196.52</v>
      </c>
      <c r="AC534" s="93">
        <f>Tabla1[[#This Row],[STOCK JUNIO ]]*Tabla1[[#This Row],[COSTO UNITARIO SIN ITBIS]]</f>
        <v>16224</v>
      </c>
    </row>
    <row r="535" spans="1:29" s="8" customFormat="1" x14ac:dyDescent="0.25">
      <c r="A535" s="265">
        <v>79</v>
      </c>
      <c r="B535" s="74">
        <v>44110</v>
      </c>
      <c r="C535" s="13" t="s">
        <v>11</v>
      </c>
      <c r="D535" s="74">
        <v>44110</v>
      </c>
      <c r="E535" s="145"/>
      <c r="F535" s="13"/>
      <c r="G535" s="75" t="s">
        <v>380</v>
      </c>
      <c r="H535" s="72">
        <v>11</v>
      </c>
      <c r="I535" s="72"/>
      <c r="J535" s="72">
        <f>+'INVENTARIO ABRIL-JUNIO 2021'!$H535-'INVENTARIO ABRIL-JUNIO 2021'!$I535</f>
        <v>11</v>
      </c>
      <c r="K535" s="72"/>
      <c r="L535" s="72"/>
      <c r="M535" s="72"/>
      <c r="N535" s="72"/>
      <c r="O535" s="296"/>
      <c r="P535" s="72"/>
      <c r="Q535" s="72">
        <f>1+1</f>
        <v>2</v>
      </c>
      <c r="R535" s="72"/>
      <c r="S535" s="72"/>
      <c r="T535" s="72"/>
      <c r="U535" s="72">
        <f>+Tabla1[[#This Row],[STOCK    FISICO ENERO 2021]]-Tabla1[[#This Row],[REQUISICIONES FEBRERO 2021]]</f>
        <v>11</v>
      </c>
      <c r="V535" s="72">
        <f>+Tabla1[[#This Row],[STOCK  FEBRERO 2021]]-Tabla1[[#This Row],[REQUISICIONES MARZO 2021]]+Tabla1[[#This Row],[ENTRADAS MARZO 2021]]</f>
        <v>9</v>
      </c>
      <c r="W535" s="72">
        <f>+Tabla1[[#This Row],[STOCK MARZO 2021]]-Tabla1[[#This Row],[REQUISICIONES ABRIL 2021]]+Tabla1[[#This Row],[ENTRADAS ABRIL 2021]]</f>
        <v>9</v>
      </c>
      <c r="X535" s="72">
        <f>+Tabla1[[#This Row],[STOCK ABRIL 2021]]-Tabla1[[#This Row],[REQUISICIONES MAYO 2021]]+Tabla1[[#This Row],[ENTRADAS MAYO 2021]]</f>
        <v>9</v>
      </c>
      <c r="Y535" s="72">
        <f>+Tabla1[[#This Row],[STOCK MAYO 2021]]-Tabla1[[#This Row],[REQUISICIONES JUNIO 2021]]+Tabla1[[#This Row],[ENTRADAS JUNIO 2021]]</f>
        <v>9</v>
      </c>
      <c r="Z535" s="73" t="s">
        <v>12</v>
      </c>
      <c r="AA535" s="76">
        <v>3380.7</v>
      </c>
      <c r="AB535" s="35">
        <f t="shared" si="18"/>
        <v>3989.2259999999997</v>
      </c>
      <c r="AC535" s="93">
        <f>Tabla1[[#This Row],[STOCK JUNIO ]]*Tabla1[[#This Row],[COSTO UNITARIO SIN ITBIS]]</f>
        <v>30426.3</v>
      </c>
    </row>
    <row r="536" spans="1:29" s="8" customFormat="1" x14ac:dyDescent="0.25">
      <c r="A536" s="265">
        <v>80</v>
      </c>
      <c r="B536" s="31">
        <v>44110</v>
      </c>
      <c r="C536" s="28" t="s">
        <v>11</v>
      </c>
      <c r="D536" s="31">
        <v>44110</v>
      </c>
      <c r="E536" s="137"/>
      <c r="F536" s="28">
        <v>1721</v>
      </c>
      <c r="G536" s="32" t="s">
        <v>381</v>
      </c>
      <c r="H536" s="63">
        <v>39</v>
      </c>
      <c r="I536" s="63"/>
      <c r="J536" s="63">
        <f>+'INVENTARIO ABRIL-JUNIO 2021'!$H536-'INVENTARIO ABRIL-JUNIO 2021'!$I536</f>
        <v>39</v>
      </c>
      <c r="K536" s="63"/>
      <c r="L536" s="63"/>
      <c r="M536" s="63"/>
      <c r="N536" s="63"/>
      <c r="O536" s="125"/>
      <c r="P536" s="63"/>
      <c r="Q536" s="63"/>
      <c r="R536" s="63"/>
      <c r="S536" s="63"/>
      <c r="T536" s="63">
        <v>2</v>
      </c>
      <c r="U536" s="63">
        <f>+Tabla1[[#This Row],[STOCK    FISICO ENERO 2021]]-Tabla1[[#This Row],[REQUISICIONES FEBRERO 2021]]</f>
        <v>39</v>
      </c>
      <c r="V536" s="63">
        <f>+Tabla1[[#This Row],[STOCK  FEBRERO 2021]]-Tabla1[[#This Row],[REQUISICIONES MARZO 2021]]+Tabla1[[#This Row],[ENTRADAS MARZO 2021]]</f>
        <v>39</v>
      </c>
      <c r="W536" s="63">
        <f>+Tabla1[[#This Row],[STOCK MARZO 2021]]-Tabla1[[#This Row],[REQUISICIONES ABRIL 2021]]+Tabla1[[#This Row],[ENTRADAS ABRIL 2021]]</f>
        <v>39</v>
      </c>
      <c r="X536" s="63">
        <f>+Tabla1[[#This Row],[STOCK ABRIL 2021]]-Tabla1[[#This Row],[REQUISICIONES MAYO 2021]]+Tabla1[[#This Row],[ENTRADAS MAYO 2021]]</f>
        <v>39</v>
      </c>
      <c r="Y536" s="63">
        <f>+Tabla1[[#This Row],[STOCK MAYO 2021]]-Tabla1[[#This Row],[REQUISICIONES JUNIO 2021]]+Tabla1[[#This Row],[ENTRADAS JUNIO 2021]]</f>
        <v>37</v>
      </c>
      <c r="Z536" s="30" t="s">
        <v>12</v>
      </c>
      <c r="AA536" s="34">
        <v>18.309999999999999</v>
      </c>
      <c r="AB536" s="35">
        <f t="shared" si="18"/>
        <v>21.605799999999999</v>
      </c>
      <c r="AC536" s="93">
        <f>Tabla1[[#This Row],[STOCK JUNIO ]]*Tabla1[[#This Row],[COSTO UNITARIO SIN ITBIS]]</f>
        <v>677.46999999999991</v>
      </c>
    </row>
    <row r="537" spans="1:29" s="8" customFormat="1" x14ac:dyDescent="0.25">
      <c r="A537" s="265">
        <v>81</v>
      </c>
      <c r="B537" s="31">
        <v>44027</v>
      </c>
      <c r="C537" s="28" t="s">
        <v>11</v>
      </c>
      <c r="D537" s="31">
        <v>44027</v>
      </c>
      <c r="E537" s="137"/>
      <c r="F537" s="13">
        <v>1722</v>
      </c>
      <c r="G537" s="75" t="s">
        <v>382</v>
      </c>
      <c r="H537" s="72">
        <v>47</v>
      </c>
      <c r="I537" s="72"/>
      <c r="J537" s="72">
        <f>+'INVENTARIO ABRIL-JUNIO 2021'!$H537-'INVENTARIO ABRIL-JUNIO 2021'!$I537</f>
        <v>47</v>
      </c>
      <c r="K537" s="72"/>
      <c r="L537" s="72"/>
      <c r="M537" s="72"/>
      <c r="N537" s="72"/>
      <c r="O537" s="296"/>
      <c r="P537" s="72"/>
      <c r="Q537" s="72"/>
      <c r="R537" s="72"/>
      <c r="S537" s="72"/>
      <c r="T537" s="72"/>
      <c r="U537" s="72">
        <f>+Tabla1[[#This Row],[STOCK    FISICO ENERO 2021]]-Tabla1[[#This Row],[REQUISICIONES FEBRERO 2021]]</f>
        <v>47</v>
      </c>
      <c r="V537" s="72">
        <f>+Tabla1[[#This Row],[STOCK  FEBRERO 2021]]-Tabla1[[#This Row],[REQUISICIONES MARZO 2021]]+Tabla1[[#This Row],[ENTRADAS MARZO 2021]]</f>
        <v>47</v>
      </c>
      <c r="W537" s="72">
        <f>+Tabla1[[#This Row],[STOCK MARZO 2021]]-Tabla1[[#This Row],[REQUISICIONES ABRIL 2021]]+Tabla1[[#This Row],[ENTRADAS ABRIL 2021]]</f>
        <v>47</v>
      </c>
      <c r="X537" s="72">
        <f>+Tabla1[[#This Row],[STOCK ABRIL 2021]]-Tabla1[[#This Row],[REQUISICIONES MAYO 2021]]+Tabla1[[#This Row],[ENTRADAS MAYO 2021]]</f>
        <v>47</v>
      </c>
      <c r="Y537" s="72">
        <f>+Tabla1[[#This Row],[STOCK MAYO 2021]]-Tabla1[[#This Row],[REQUISICIONES JUNIO 2021]]+Tabla1[[#This Row],[ENTRADAS JUNIO 2021]]</f>
        <v>47</v>
      </c>
      <c r="Z537" s="73" t="s">
        <v>12</v>
      </c>
      <c r="AA537" s="76">
        <v>18.309999999999999</v>
      </c>
      <c r="AB537" s="35">
        <f t="shared" si="18"/>
        <v>21.605799999999999</v>
      </c>
      <c r="AC537" s="93">
        <f>Tabla1[[#This Row],[STOCK JUNIO ]]*Tabla1[[#This Row],[COSTO UNITARIO SIN ITBIS]]</f>
        <v>860.56999999999994</v>
      </c>
    </row>
    <row r="538" spans="1:29" s="8" customFormat="1" x14ac:dyDescent="0.25">
      <c r="A538" s="265">
        <v>82</v>
      </c>
      <c r="B538" s="74">
        <v>44168</v>
      </c>
      <c r="C538" s="13" t="s">
        <v>11</v>
      </c>
      <c r="D538" s="74"/>
      <c r="E538" s="145"/>
      <c r="F538" s="13">
        <v>1700</v>
      </c>
      <c r="G538" s="75" t="s">
        <v>383</v>
      </c>
      <c r="H538" s="72">
        <v>92</v>
      </c>
      <c r="I538" s="72"/>
      <c r="J538" s="72">
        <f>+'INVENTARIO ABRIL-JUNIO 2021'!$H538-'INVENTARIO ABRIL-JUNIO 2021'!$I538</f>
        <v>92</v>
      </c>
      <c r="K538" s="72"/>
      <c r="L538" s="72"/>
      <c r="M538" s="72"/>
      <c r="N538" s="72"/>
      <c r="O538" s="296"/>
      <c r="P538" s="72"/>
      <c r="Q538" s="72">
        <v>3</v>
      </c>
      <c r="R538" s="72">
        <v>2</v>
      </c>
      <c r="S538" s="72">
        <f>1+1+1</f>
        <v>3</v>
      </c>
      <c r="T538" s="72">
        <f>1+1</f>
        <v>2</v>
      </c>
      <c r="U538" s="72">
        <f>+Tabla1[[#This Row],[STOCK    FISICO ENERO 2021]]-Tabla1[[#This Row],[REQUISICIONES FEBRERO 2021]]</f>
        <v>92</v>
      </c>
      <c r="V538" s="72">
        <f>+Tabla1[[#This Row],[STOCK  FEBRERO 2021]]-Tabla1[[#This Row],[REQUISICIONES MARZO 2021]]+Tabla1[[#This Row],[ENTRADAS MARZO 2021]]</f>
        <v>89</v>
      </c>
      <c r="W538" s="72">
        <f>+Tabla1[[#This Row],[STOCK MARZO 2021]]-Tabla1[[#This Row],[REQUISICIONES ABRIL 2021]]+Tabla1[[#This Row],[ENTRADAS ABRIL 2021]]</f>
        <v>87</v>
      </c>
      <c r="X538" s="72">
        <f>+Tabla1[[#This Row],[STOCK ABRIL 2021]]-Tabla1[[#This Row],[REQUISICIONES MAYO 2021]]+Tabla1[[#This Row],[ENTRADAS MAYO 2021]]</f>
        <v>84</v>
      </c>
      <c r="Y538" s="72">
        <f>+Tabla1[[#This Row],[STOCK MAYO 2021]]-Tabla1[[#This Row],[REQUISICIONES JUNIO 2021]]+Tabla1[[#This Row],[ENTRADAS JUNIO 2021]]</f>
        <v>82</v>
      </c>
      <c r="Z538" s="73" t="s">
        <v>12</v>
      </c>
      <c r="AA538" s="76">
        <v>40.68</v>
      </c>
      <c r="AB538" s="35">
        <f t="shared" si="18"/>
        <v>48.002400000000002</v>
      </c>
      <c r="AC538" s="93">
        <f>Tabla1[[#This Row],[STOCK JUNIO ]]*Tabla1[[#This Row],[COSTO UNITARIO SIN ITBIS]]</f>
        <v>3335.7599999999998</v>
      </c>
    </row>
    <row r="539" spans="1:29" s="8" customFormat="1" x14ac:dyDescent="0.25">
      <c r="A539" s="265">
        <v>83</v>
      </c>
      <c r="B539" s="74">
        <v>44027</v>
      </c>
      <c r="C539" s="13" t="s">
        <v>11</v>
      </c>
      <c r="D539" s="74">
        <v>44027</v>
      </c>
      <c r="E539" s="145"/>
      <c r="F539" s="28">
        <v>1674</v>
      </c>
      <c r="G539" s="32" t="s">
        <v>384</v>
      </c>
      <c r="H539" s="63">
        <v>35</v>
      </c>
      <c r="I539" s="63"/>
      <c r="J539" s="63">
        <f>+'INVENTARIO ABRIL-JUNIO 2021'!$H539-'INVENTARIO ABRIL-JUNIO 2021'!$I539</f>
        <v>35</v>
      </c>
      <c r="K539" s="63"/>
      <c r="L539" s="63"/>
      <c r="M539" s="63"/>
      <c r="N539" s="63"/>
      <c r="O539" s="125"/>
      <c r="P539" s="63"/>
      <c r="Q539" s="63"/>
      <c r="R539" s="63"/>
      <c r="S539" s="63"/>
      <c r="T539" s="63"/>
      <c r="U539" s="63">
        <f>+Tabla1[[#This Row],[STOCK    FISICO ENERO 2021]]-Tabla1[[#This Row],[REQUISICIONES FEBRERO 2021]]</f>
        <v>35</v>
      </c>
      <c r="V539" s="63">
        <f>+Tabla1[[#This Row],[STOCK  FEBRERO 2021]]-Tabla1[[#This Row],[REQUISICIONES MARZO 2021]]+Tabla1[[#This Row],[ENTRADAS MARZO 2021]]</f>
        <v>35</v>
      </c>
      <c r="W539" s="63">
        <f>+Tabla1[[#This Row],[STOCK MARZO 2021]]-Tabla1[[#This Row],[REQUISICIONES ABRIL 2021]]+Tabla1[[#This Row],[ENTRADAS ABRIL 2021]]</f>
        <v>35</v>
      </c>
      <c r="X539" s="63">
        <f>+Tabla1[[#This Row],[STOCK ABRIL 2021]]-Tabla1[[#This Row],[REQUISICIONES MAYO 2021]]+Tabla1[[#This Row],[ENTRADAS MAYO 2021]]</f>
        <v>35</v>
      </c>
      <c r="Y539" s="63">
        <f>+Tabla1[[#This Row],[STOCK MAYO 2021]]-Tabla1[[#This Row],[REQUISICIONES JUNIO 2021]]+Tabla1[[#This Row],[ENTRADAS JUNIO 2021]]</f>
        <v>35</v>
      </c>
      <c r="Z539" s="30" t="s">
        <v>12</v>
      </c>
      <c r="AA539" s="34">
        <v>42.28</v>
      </c>
      <c r="AB539" s="35">
        <f t="shared" si="18"/>
        <v>49.8904</v>
      </c>
      <c r="AC539" s="93">
        <f>Tabla1[[#This Row],[STOCK JUNIO ]]*Tabla1[[#This Row],[COSTO UNITARIO SIN ITBIS]]</f>
        <v>1479.8</v>
      </c>
    </row>
    <row r="540" spans="1:29" s="8" customFormat="1" x14ac:dyDescent="0.25">
      <c r="A540" s="265">
        <v>84</v>
      </c>
      <c r="B540" s="31">
        <v>42991</v>
      </c>
      <c r="C540" s="28" t="s">
        <v>11</v>
      </c>
      <c r="D540" s="31">
        <v>42991</v>
      </c>
      <c r="E540" s="137"/>
      <c r="F540" s="13">
        <v>1673</v>
      </c>
      <c r="G540" s="75" t="s">
        <v>385</v>
      </c>
      <c r="H540" s="72">
        <v>33</v>
      </c>
      <c r="I540" s="72"/>
      <c r="J540" s="72">
        <f>+'INVENTARIO ABRIL-JUNIO 2021'!$H540-'INVENTARIO ABRIL-JUNIO 2021'!$I540</f>
        <v>33</v>
      </c>
      <c r="K540" s="72"/>
      <c r="L540" s="72"/>
      <c r="M540" s="72"/>
      <c r="N540" s="72"/>
      <c r="O540" s="296"/>
      <c r="P540" s="72"/>
      <c r="Q540" s="72"/>
      <c r="R540" s="72"/>
      <c r="S540" s="72"/>
      <c r="T540" s="72"/>
      <c r="U540" s="72">
        <f>+Tabla1[[#This Row],[STOCK    FISICO ENERO 2021]]-Tabla1[[#This Row],[REQUISICIONES FEBRERO 2021]]</f>
        <v>33</v>
      </c>
      <c r="V540" s="72">
        <f>+Tabla1[[#This Row],[STOCK  FEBRERO 2021]]-Tabla1[[#This Row],[REQUISICIONES MARZO 2021]]+Tabla1[[#This Row],[ENTRADAS MARZO 2021]]</f>
        <v>33</v>
      </c>
      <c r="W540" s="72">
        <f>+Tabla1[[#This Row],[STOCK MARZO 2021]]-Tabla1[[#This Row],[REQUISICIONES ABRIL 2021]]+Tabla1[[#This Row],[ENTRADAS ABRIL 2021]]</f>
        <v>33</v>
      </c>
      <c r="X540" s="72">
        <f>+Tabla1[[#This Row],[STOCK ABRIL 2021]]-Tabla1[[#This Row],[REQUISICIONES MAYO 2021]]+Tabla1[[#This Row],[ENTRADAS MAYO 2021]]</f>
        <v>33</v>
      </c>
      <c r="Y540" s="72">
        <f>+Tabla1[[#This Row],[STOCK MAYO 2021]]-Tabla1[[#This Row],[REQUISICIONES JUNIO 2021]]+Tabla1[[#This Row],[ENTRADAS JUNIO 2021]]</f>
        <v>33</v>
      </c>
      <c r="Z540" s="73" t="s">
        <v>12</v>
      </c>
      <c r="AA540" s="76">
        <v>5.65</v>
      </c>
      <c r="AB540" s="35">
        <f t="shared" si="18"/>
        <v>6.6670000000000007</v>
      </c>
      <c r="AC540" s="93">
        <f>Tabla1[[#This Row],[STOCK JUNIO ]]*Tabla1[[#This Row],[COSTO UNITARIO SIN ITBIS]]</f>
        <v>186.45000000000002</v>
      </c>
    </row>
    <row r="541" spans="1:29" s="8" customFormat="1" x14ac:dyDescent="0.25">
      <c r="A541" s="265">
        <v>85</v>
      </c>
      <c r="B541" s="74">
        <v>44026</v>
      </c>
      <c r="C541" s="13" t="s">
        <v>11</v>
      </c>
      <c r="D541" s="74">
        <v>44026</v>
      </c>
      <c r="E541" s="145"/>
      <c r="F541" s="28">
        <v>1213</v>
      </c>
      <c r="G541" s="32" t="s">
        <v>638</v>
      </c>
      <c r="H541" s="63">
        <v>36</v>
      </c>
      <c r="I541" s="63"/>
      <c r="J541" s="63">
        <f>+'INVENTARIO ABRIL-JUNIO 2021'!$H541-'INVENTARIO ABRIL-JUNIO 2021'!$I541</f>
        <v>36</v>
      </c>
      <c r="K541" s="63"/>
      <c r="L541" s="63"/>
      <c r="M541" s="63"/>
      <c r="N541" s="63"/>
      <c r="O541" s="125"/>
      <c r="P541" s="63"/>
      <c r="Q541" s="63"/>
      <c r="R541" s="63"/>
      <c r="S541" s="63"/>
      <c r="T541" s="63"/>
      <c r="U541" s="63">
        <f>+Tabla1[[#This Row],[STOCK    FISICO ENERO 2021]]-Tabla1[[#This Row],[REQUISICIONES FEBRERO 2021]]</f>
        <v>36</v>
      </c>
      <c r="V541" s="63">
        <f>+Tabla1[[#This Row],[STOCK  FEBRERO 2021]]-Tabla1[[#This Row],[REQUISICIONES MARZO 2021]]+Tabla1[[#This Row],[ENTRADAS MARZO 2021]]</f>
        <v>36</v>
      </c>
      <c r="W541" s="63">
        <f>+Tabla1[[#This Row],[STOCK MARZO 2021]]-Tabla1[[#This Row],[REQUISICIONES ABRIL 2021]]+Tabla1[[#This Row],[ENTRADAS ABRIL 2021]]</f>
        <v>36</v>
      </c>
      <c r="X541" s="63">
        <f>+Tabla1[[#This Row],[STOCK ABRIL 2021]]-Tabla1[[#This Row],[REQUISICIONES MAYO 2021]]+Tabla1[[#This Row],[ENTRADAS MAYO 2021]]</f>
        <v>36</v>
      </c>
      <c r="Y541" s="63">
        <f>+Tabla1[[#This Row],[STOCK MAYO 2021]]-Tabla1[[#This Row],[REQUISICIONES JUNIO 2021]]+Tabla1[[#This Row],[ENTRADAS JUNIO 2021]]</f>
        <v>36</v>
      </c>
      <c r="Z541" s="30" t="s">
        <v>12</v>
      </c>
      <c r="AA541" s="34">
        <v>0</v>
      </c>
      <c r="AB541" s="35">
        <f t="shared" si="18"/>
        <v>0</v>
      </c>
      <c r="AC541" s="93">
        <f>Tabla1[[#This Row],[STOCK JUNIO ]]*Tabla1[[#This Row],[COSTO UNITARIO SIN ITBIS]]</f>
        <v>0</v>
      </c>
    </row>
    <row r="542" spans="1:29" s="8" customFormat="1" x14ac:dyDescent="0.25">
      <c r="A542" s="265">
        <v>86</v>
      </c>
      <c r="B542" s="31">
        <v>44026</v>
      </c>
      <c r="C542" s="28" t="s">
        <v>11</v>
      </c>
      <c r="D542" s="31">
        <v>44026</v>
      </c>
      <c r="E542" s="137"/>
      <c r="F542" s="13">
        <v>1314</v>
      </c>
      <c r="G542" s="75" t="s">
        <v>386</v>
      </c>
      <c r="H542" s="72">
        <v>1</v>
      </c>
      <c r="I542" s="72"/>
      <c r="J542" s="72">
        <f>+'INVENTARIO ABRIL-JUNIO 2021'!$H542-'INVENTARIO ABRIL-JUNIO 2021'!$I542</f>
        <v>1</v>
      </c>
      <c r="K542" s="72"/>
      <c r="L542" s="72"/>
      <c r="M542" s="72"/>
      <c r="N542" s="72"/>
      <c r="O542" s="296"/>
      <c r="P542" s="72"/>
      <c r="Q542" s="72"/>
      <c r="R542" s="72"/>
      <c r="S542" s="72"/>
      <c r="T542" s="72"/>
      <c r="U542" s="72">
        <f>+Tabla1[[#This Row],[STOCK    FISICO ENERO 2021]]-Tabla1[[#This Row],[REQUISICIONES FEBRERO 2021]]</f>
        <v>1</v>
      </c>
      <c r="V542" s="72">
        <f>+Tabla1[[#This Row],[STOCK  FEBRERO 2021]]-Tabla1[[#This Row],[REQUISICIONES MARZO 2021]]+Tabla1[[#This Row],[ENTRADAS MARZO 2021]]</f>
        <v>1</v>
      </c>
      <c r="W542" s="72">
        <f>+Tabla1[[#This Row],[STOCK MARZO 2021]]-Tabla1[[#This Row],[REQUISICIONES ABRIL 2021]]+Tabla1[[#This Row],[ENTRADAS ABRIL 2021]]</f>
        <v>1</v>
      </c>
      <c r="X542" s="72">
        <f>+Tabla1[[#This Row],[STOCK ABRIL 2021]]-Tabla1[[#This Row],[REQUISICIONES MAYO 2021]]+Tabla1[[#This Row],[ENTRADAS MAYO 2021]]</f>
        <v>1</v>
      </c>
      <c r="Y542" s="72">
        <f>+Tabla1[[#This Row],[STOCK MAYO 2021]]-Tabla1[[#This Row],[REQUISICIONES JUNIO 2021]]+Tabla1[[#This Row],[ENTRADAS JUNIO 2021]]</f>
        <v>1</v>
      </c>
      <c r="Z542" s="73" t="s">
        <v>12</v>
      </c>
      <c r="AA542" s="76">
        <v>10.62</v>
      </c>
      <c r="AB542" s="35">
        <f t="shared" si="18"/>
        <v>12.531599999999999</v>
      </c>
      <c r="AC542" s="93">
        <f>Tabla1[[#This Row],[STOCK JUNIO ]]*Tabla1[[#This Row],[COSTO UNITARIO SIN ITBIS]]</f>
        <v>10.62</v>
      </c>
    </row>
    <row r="543" spans="1:29" s="8" customFormat="1" x14ac:dyDescent="0.25">
      <c r="A543" s="265">
        <v>87</v>
      </c>
      <c r="B543" s="74">
        <v>44026</v>
      </c>
      <c r="C543" s="13" t="s">
        <v>11</v>
      </c>
      <c r="D543" s="74">
        <v>44026</v>
      </c>
      <c r="E543" s="145"/>
      <c r="F543" s="28">
        <v>1448</v>
      </c>
      <c r="G543" s="32" t="s">
        <v>387</v>
      </c>
      <c r="H543" s="63">
        <v>9</v>
      </c>
      <c r="I543" s="63"/>
      <c r="J543" s="63">
        <f>+'INVENTARIO ABRIL-JUNIO 2021'!$H543-'INVENTARIO ABRIL-JUNIO 2021'!$I543</f>
        <v>9</v>
      </c>
      <c r="K543" s="63"/>
      <c r="L543" s="63"/>
      <c r="M543" s="63"/>
      <c r="N543" s="63"/>
      <c r="O543" s="125"/>
      <c r="P543" s="63"/>
      <c r="Q543" s="63">
        <v>2</v>
      </c>
      <c r="R543" s="63"/>
      <c r="S543" s="63">
        <v>1</v>
      </c>
      <c r="T543" s="63">
        <v>1</v>
      </c>
      <c r="U543" s="63">
        <f>+Tabla1[[#This Row],[STOCK    FISICO ENERO 2021]]-Tabla1[[#This Row],[REQUISICIONES FEBRERO 2021]]</f>
        <v>9</v>
      </c>
      <c r="V543" s="63">
        <f>+Tabla1[[#This Row],[STOCK  FEBRERO 2021]]-Tabla1[[#This Row],[REQUISICIONES MARZO 2021]]+Tabla1[[#This Row],[ENTRADAS MARZO 2021]]</f>
        <v>7</v>
      </c>
      <c r="W543" s="63">
        <f>+Tabla1[[#This Row],[STOCK MARZO 2021]]-Tabla1[[#This Row],[REQUISICIONES ABRIL 2021]]+Tabla1[[#This Row],[ENTRADAS ABRIL 2021]]</f>
        <v>7</v>
      </c>
      <c r="X543" s="63">
        <f>+Tabla1[[#This Row],[STOCK ABRIL 2021]]-Tabla1[[#This Row],[REQUISICIONES MAYO 2021]]+Tabla1[[#This Row],[ENTRADAS MAYO 2021]]</f>
        <v>6</v>
      </c>
      <c r="Y543" s="63">
        <f>+Tabla1[[#This Row],[STOCK MAYO 2021]]-Tabla1[[#This Row],[REQUISICIONES JUNIO 2021]]+Tabla1[[#This Row],[ENTRADAS JUNIO 2021]]</f>
        <v>5</v>
      </c>
      <c r="Z543" s="30" t="s">
        <v>12</v>
      </c>
      <c r="AA543" s="34">
        <v>70.09</v>
      </c>
      <c r="AB543" s="35">
        <f t="shared" si="18"/>
        <v>82.70620000000001</v>
      </c>
      <c r="AC543" s="93">
        <f>Tabla1[[#This Row],[STOCK JUNIO ]]*Tabla1[[#This Row],[COSTO UNITARIO SIN ITBIS]]</f>
        <v>350.45000000000005</v>
      </c>
    </row>
    <row r="544" spans="1:29" s="8" customFormat="1" x14ac:dyDescent="0.25">
      <c r="A544" s="265">
        <v>88</v>
      </c>
      <c r="B544" s="31">
        <v>43223</v>
      </c>
      <c r="C544" s="28" t="s">
        <v>11</v>
      </c>
      <c r="D544" s="31">
        <v>43223</v>
      </c>
      <c r="E544" s="137"/>
      <c r="F544" s="13">
        <v>1676</v>
      </c>
      <c r="G544" s="75" t="s">
        <v>388</v>
      </c>
      <c r="H544" s="72">
        <v>16</v>
      </c>
      <c r="I544" s="72"/>
      <c r="J544" s="72">
        <f>+'INVENTARIO ABRIL-JUNIO 2021'!$H544-'INVENTARIO ABRIL-JUNIO 2021'!$I544</f>
        <v>16</v>
      </c>
      <c r="K544" s="72"/>
      <c r="L544" s="72"/>
      <c r="M544" s="72"/>
      <c r="N544" s="72"/>
      <c r="O544" s="296"/>
      <c r="P544" s="72">
        <v>1</v>
      </c>
      <c r="Q544" s="72"/>
      <c r="R544" s="72"/>
      <c r="S544" s="72">
        <f>1+2+1</f>
        <v>4</v>
      </c>
      <c r="T544" s="72"/>
      <c r="U544" s="72">
        <f>+Tabla1[[#This Row],[STOCK    FISICO ENERO 2021]]-Tabla1[[#This Row],[REQUISICIONES FEBRERO 2021]]</f>
        <v>15</v>
      </c>
      <c r="V544" s="72">
        <f>+Tabla1[[#This Row],[STOCK  FEBRERO 2021]]-Tabla1[[#This Row],[REQUISICIONES MARZO 2021]]+Tabla1[[#This Row],[ENTRADAS MARZO 2021]]</f>
        <v>15</v>
      </c>
      <c r="W544" s="72">
        <f>+Tabla1[[#This Row],[STOCK MARZO 2021]]-Tabla1[[#This Row],[REQUISICIONES ABRIL 2021]]+Tabla1[[#This Row],[ENTRADAS ABRIL 2021]]</f>
        <v>15</v>
      </c>
      <c r="X544" s="72">
        <f>+Tabla1[[#This Row],[STOCK ABRIL 2021]]-Tabla1[[#This Row],[REQUISICIONES MAYO 2021]]+Tabla1[[#This Row],[ENTRADAS MAYO 2021]]</f>
        <v>11</v>
      </c>
      <c r="Y544" s="72">
        <f>+Tabla1[[#This Row],[STOCK MAYO 2021]]-Tabla1[[#This Row],[REQUISICIONES JUNIO 2021]]+Tabla1[[#This Row],[ENTRADAS JUNIO 2021]]</f>
        <v>11</v>
      </c>
      <c r="Z544" s="73" t="s">
        <v>12</v>
      </c>
      <c r="AA544" s="76">
        <v>46.8</v>
      </c>
      <c r="AB544" s="35">
        <f t="shared" si="18"/>
        <v>55.223999999999997</v>
      </c>
      <c r="AC544" s="93">
        <f>Tabla1[[#This Row],[STOCK JUNIO ]]*Tabla1[[#This Row],[COSTO UNITARIO SIN ITBIS]]</f>
        <v>514.79999999999995</v>
      </c>
    </row>
    <row r="545" spans="1:29" s="8" customFormat="1" x14ac:dyDescent="0.25">
      <c r="A545" s="265">
        <v>89</v>
      </c>
      <c r="B545" s="74">
        <v>43223</v>
      </c>
      <c r="C545" s="13" t="s">
        <v>11</v>
      </c>
      <c r="D545" s="74">
        <v>43223</v>
      </c>
      <c r="E545" s="145"/>
      <c r="F545" s="28">
        <v>44110</v>
      </c>
      <c r="G545" s="32" t="s">
        <v>389</v>
      </c>
      <c r="H545" s="63">
        <v>188</v>
      </c>
      <c r="I545" s="63"/>
      <c r="J545" s="63">
        <f>+'INVENTARIO ABRIL-JUNIO 2021'!$H545-'INVENTARIO ABRIL-JUNIO 2021'!$I545</f>
        <v>188</v>
      </c>
      <c r="K545" s="63"/>
      <c r="L545" s="63"/>
      <c r="M545" s="63"/>
      <c r="N545" s="63"/>
      <c r="O545" s="125"/>
      <c r="P545" s="63"/>
      <c r="Q545" s="63"/>
      <c r="R545" s="63"/>
      <c r="S545" s="63"/>
      <c r="T545" s="63"/>
      <c r="U545" s="63">
        <f>+Tabla1[[#This Row],[STOCK    FISICO ENERO 2021]]-Tabla1[[#This Row],[REQUISICIONES FEBRERO 2021]]</f>
        <v>188</v>
      </c>
      <c r="V545" s="63">
        <f>+Tabla1[[#This Row],[STOCK  FEBRERO 2021]]-Tabla1[[#This Row],[REQUISICIONES MARZO 2021]]+Tabla1[[#This Row],[ENTRADAS MARZO 2021]]</f>
        <v>188</v>
      </c>
      <c r="W545" s="63">
        <f>+Tabla1[[#This Row],[STOCK MARZO 2021]]-Tabla1[[#This Row],[REQUISICIONES ABRIL 2021]]+Tabla1[[#This Row],[ENTRADAS ABRIL 2021]]</f>
        <v>188</v>
      </c>
      <c r="X545" s="63">
        <f>+Tabla1[[#This Row],[STOCK ABRIL 2021]]-Tabla1[[#This Row],[REQUISICIONES MAYO 2021]]+Tabla1[[#This Row],[ENTRADAS MAYO 2021]]</f>
        <v>188</v>
      </c>
      <c r="Y545" s="63">
        <f>+Tabla1[[#This Row],[STOCK MAYO 2021]]-Tabla1[[#This Row],[REQUISICIONES JUNIO 2021]]+Tabla1[[#This Row],[ENTRADAS JUNIO 2021]]</f>
        <v>188</v>
      </c>
      <c r="Z545" s="30" t="s">
        <v>12</v>
      </c>
      <c r="AA545" s="34">
        <v>0</v>
      </c>
      <c r="AB545" s="35">
        <f t="shared" si="18"/>
        <v>0</v>
      </c>
      <c r="AC545" s="93">
        <f>Tabla1[[#This Row],[STOCK JUNIO ]]*Tabla1[[#This Row],[COSTO UNITARIO SIN ITBIS]]</f>
        <v>0</v>
      </c>
    </row>
    <row r="546" spans="1:29" s="8" customFormat="1" x14ac:dyDescent="0.25">
      <c r="A546" s="265">
        <v>90</v>
      </c>
      <c r="B546" s="31">
        <v>44168</v>
      </c>
      <c r="C546" s="28" t="s">
        <v>11</v>
      </c>
      <c r="D546" s="31">
        <v>44153</v>
      </c>
      <c r="E546" s="137"/>
      <c r="F546" s="13" t="s">
        <v>20</v>
      </c>
      <c r="G546" s="75" t="s">
        <v>390</v>
      </c>
      <c r="H546" s="72">
        <v>4</v>
      </c>
      <c r="I546" s="72"/>
      <c r="J546" s="72">
        <f>+'INVENTARIO ABRIL-JUNIO 2021'!$H546-'INVENTARIO ABRIL-JUNIO 2021'!$I546</f>
        <v>4</v>
      </c>
      <c r="K546" s="72"/>
      <c r="L546" s="72"/>
      <c r="M546" s="72"/>
      <c r="N546" s="72"/>
      <c r="O546" s="296"/>
      <c r="P546" s="72"/>
      <c r="Q546" s="72">
        <v>1</v>
      </c>
      <c r="R546" s="72"/>
      <c r="S546" s="72">
        <v>1</v>
      </c>
      <c r="T546" s="72"/>
      <c r="U546" s="72">
        <f>+Tabla1[[#This Row],[STOCK    FISICO ENERO 2021]]-Tabla1[[#This Row],[REQUISICIONES FEBRERO 2021]]</f>
        <v>4</v>
      </c>
      <c r="V546" s="72">
        <f>+Tabla1[[#This Row],[STOCK  FEBRERO 2021]]-Tabla1[[#This Row],[REQUISICIONES MARZO 2021]]+Tabla1[[#This Row],[ENTRADAS MARZO 2021]]</f>
        <v>3</v>
      </c>
      <c r="W546" s="72">
        <f>+Tabla1[[#This Row],[STOCK MARZO 2021]]-Tabla1[[#This Row],[REQUISICIONES ABRIL 2021]]+Tabla1[[#This Row],[ENTRADAS ABRIL 2021]]</f>
        <v>3</v>
      </c>
      <c r="X546" s="72">
        <f>+Tabla1[[#This Row],[STOCK ABRIL 2021]]-Tabla1[[#This Row],[REQUISICIONES MAYO 2021]]+Tabla1[[#This Row],[ENTRADAS MAYO 2021]]</f>
        <v>2</v>
      </c>
      <c r="Y546" s="72">
        <f>+Tabla1[[#This Row],[STOCK MAYO 2021]]-Tabla1[[#This Row],[REQUISICIONES JUNIO 2021]]+Tabla1[[#This Row],[ENTRADAS JUNIO 2021]]</f>
        <v>2</v>
      </c>
      <c r="Z546" s="73" t="s">
        <v>12</v>
      </c>
      <c r="AA546" s="76">
        <v>0</v>
      </c>
      <c r="AB546" s="35">
        <f t="shared" si="18"/>
        <v>0</v>
      </c>
      <c r="AC546" s="93">
        <f>Tabla1[[#This Row],[STOCK JUNIO ]]*Tabla1[[#This Row],[COSTO UNITARIO SIN ITBIS]]</f>
        <v>0</v>
      </c>
    </row>
    <row r="547" spans="1:29" s="8" customFormat="1" x14ac:dyDescent="0.25">
      <c r="A547" s="265">
        <v>91</v>
      </c>
      <c r="B547" s="74">
        <v>44109</v>
      </c>
      <c r="C547" s="13" t="s">
        <v>11</v>
      </c>
      <c r="D547" s="74">
        <v>44109</v>
      </c>
      <c r="E547" s="145"/>
      <c r="F547" s="28" t="s">
        <v>20</v>
      </c>
      <c r="G547" s="32" t="s">
        <v>391</v>
      </c>
      <c r="H547" s="63">
        <v>9</v>
      </c>
      <c r="I547" s="63"/>
      <c r="J547" s="63">
        <f>+'INVENTARIO ABRIL-JUNIO 2021'!$H547-'INVENTARIO ABRIL-JUNIO 2021'!$I547</f>
        <v>9</v>
      </c>
      <c r="K547" s="63"/>
      <c r="L547" s="63"/>
      <c r="M547" s="63"/>
      <c r="N547" s="63"/>
      <c r="O547" s="125"/>
      <c r="P547" s="63"/>
      <c r="Q547" s="63">
        <v>1</v>
      </c>
      <c r="R547" s="63"/>
      <c r="S547" s="63"/>
      <c r="T547" s="63">
        <v>1</v>
      </c>
      <c r="U547" s="63">
        <f>+Tabla1[[#This Row],[STOCK    FISICO ENERO 2021]]-Tabla1[[#This Row],[REQUISICIONES FEBRERO 2021]]</f>
        <v>9</v>
      </c>
      <c r="V547" s="63">
        <f>+Tabla1[[#This Row],[STOCK  FEBRERO 2021]]-Tabla1[[#This Row],[REQUISICIONES MARZO 2021]]+Tabla1[[#This Row],[ENTRADAS MARZO 2021]]</f>
        <v>8</v>
      </c>
      <c r="W547" s="63">
        <f>+Tabla1[[#This Row],[STOCK MARZO 2021]]-Tabla1[[#This Row],[REQUISICIONES ABRIL 2021]]+Tabla1[[#This Row],[ENTRADAS ABRIL 2021]]</f>
        <v>8</v>
      </c>
      <c r="X547" s="63">
        <f>+Tabla1[[#This Row],[STOCK ABRIL 2021]]-Tabla1[[#This Row],[REQUISICIONES MAYO 2021]]+Tabla1[[#This Row],[ENTRADAS MAYO 2021]]</f>
        <v>8</v>
      </c>
      <c r="Y547" s="63">
        <f>+Tabla1[[#This Row],[STOCK MAYO 2021]]-Tabla1[[#This Row],[REQUISICIONES JUNIO 2021]]+Tabla1[[#This Row],[ENTRADAS JUNIO 2021]]</f>
        <v>7</v>
      </c>
      <c r="Z547" s="30" t="s">
        <v>12</v>
      </c>
      <c r="AA547" s="34">
        <v>0</v>
      </c>
      <c r="AB547" s="35">
        <f t="shared" si="18"/>
        <v>0</v>
      </c>
      <c r="AC547" s="93">
        <f>Tabla1[[#This Row],[STOCK JUNIO ]]*Tabla1[[#This Row],[COSTO UNITARIO SIN ITBIS]]</f>
        <v>0</v>
      </c>
    </row>
    <row r="548" spans="1:29" s="8" customFormat="1" x14ac:dyDescent="0.25">
      <c r="A548" s="265">
        <v>92</v>
      </c>
      <c r="B548" s="74">
        <v>42991</v>
      </c>
      <c r="C548" s="13" t="s">
        <v>11</v>
      </c>
      <c r="D548" s="74">
        <v>42991</v>
      </c>
      <c r="E548" s="145"/>
      <c r="F548" s="28">
        <v>1177</v>
      </c>
      <c r="G548" s="32" t="s">
        <v>640</v>
      </c>
      <c r="H548" s="63">
        <v>13</v>
      </c>
      <c r="I548" s="63"/>
      <c r="J548" s="63">
        <f>+'INVENTARIO ABRIL-JUNIO 2021'!$H548-'INVENTARIO ABRIL-JUNIO 2021'!$I548</f>
        <v>13</v>
      </c>
      <c r="K548" s="63"/>
      <c r="L548" s="63"/>
      <c r="M548" s="63"/>
      <c r="N548" s="63"/>
      <c r="O548" s="125"/>
      <c r="P548" s="63"/>
      <c r="Q548" s="63">
        <f>1+1</f>
        <v>2</v>
      </c>
      <c r="R548" s="63">
        <v>1</v>
      </c>
      <c r="S548" s="63"/>
      <c r="T548" s="63">
        <v>1</v>
      </c>
      <c r="U548" s="63">
        <f>+Tabla1[[#This Row],[STOCK    FISICO ENERO 2021]]-Tabla1[[#This Row],[REQUISICIONES FEBRERO 2021]]</f>
        <v>13</v>
      </c>
      <c r="V548" s="63">
        <f>+Tabla1[[#This Row],[STOCK  FEBRERO 2021]]-Tabla1[[#This Row],[REQUISICIONES MARZO 2021]]+Tabla1[[#This Row],[ENTRADAS MARZO 2021]]</f>
        <v>11</v>
      </c>
      <c r="W548" s="63">
        <f>+Tabla1[[#This Row],[STOCK MARZO 2021]]-Tabla1[[#This Row],[REQUISICIONES ABRIL 2021]]+Tabla1[[#This Row],[ENTRADAS ABRIL 2021]]</f>
        <v>10</v>
      </c>
      <c r="X548" s="63">
        <f>+Tabla1[[#This Row],[STOCK ABRIL 2021]]-Tabla1[[#This Row],[REQUISICIONES MAYO 2021]]+Tabla1[[#This Row],[ENTRADAS MAYO 2021]]</f>
        <v>10</v>
      </c>
      <c r="Y548" s="63">
        <f>+Tabla1[[#This Row],[STOCK MAYO 2021]]-Tabla1[[#This Row],[REQUISICIONES JUNIO 2021]]+Tabla1[[#This Row],[ENTRADAS JUNIO 2021]]</f>
        <v>9</v>
      </c>
      <c r="Z548" s="30" t="s">
        <v>12</v>
      </c>
      <c r="AA548" s="34">
        <v>413</v>
      </c>
      <c r="AB548" s="35">
        <f t="shared" si="18"/>
        <v>487.34000000000003</v>
      </c>
      <c r="AC548" s="93">
        <f>Tabla1[[#This Row],[STOCK JUNIO ]]*Tabla1[[#This Row],[COSTO UNITARIO SIN ITBIS]]</f>
        <v>3717</v>
      </c>
    </row>
    <row r="549" spans="1:29" s="8" customFormat="1" x14ac:dyDescent="0.25">
      <c r="A549" s="265">
        <v>93</v>
      </c>
      <c r="B549" s="31">
        <v>44110</v>
      </c>
      <c r="C549" s="28" t="s">
        <v>11</v>
      </c>
      <c r="D549" s="31">
        <v>44110</v>
      </c>
      <c r="E549" s="137"/>
      <c r="F549" s="13">
        <v>1715</v>
      </c>
      <c r="G549" s="75" t="s">
        <v>392</v>
      </c>
      <c r="H549" s="72">
        <v>10</v>
      </c>
      <c r="I549" s="72"/>
      <c r="J549" s="72">
        <f>+'INVENTARIO ABRIL-JUNIO 2021'!$H549-'INVENTARIO ABRIL-JUNIO 2021'!$I549</f>
        <v>10</v>
      </c>
      <c r="K549" s="72"/>
      <c r="L549" s="72"/>
      <c r="M549" s="72"/>
      <c r="N549" s="72"/>
      <c r="O549" s="296"/>
      <c r="P549" s="72"/>
      <c r="Q549" s="72"/>
      <c r="R549" s="72"/>
      <c r="S549" s="72">
        <f>1+1</f>
        <v>2</v>
      </c>
      <c r="T549" s="72">
        <f>1+1</f>
        <v>2</v>
      </c>
      <c r="U549" s="72">
        <f>+Tabla1[[#This Row],[STOCK    FISICO ENERO 2021]]-Tabla1[[#This Row],[REQUISICIONES FEBRERO 2021]]</f>
        <v>10</v>
      </c>
      <c r="V549" s="72">
        <f>+Tabla1[[#This Row],[STOCK  FEBRERO 2021]]-Tabla1[[#This Row],[REQUISICIONES MARZO 2021]]+Tabla1[[#This Row],[ENTRADAS MARZO 2021]]</f>
        <v>10</v>
      </c>
      <c r="W549" s="72">
        <f>+Tabla1[[#This Row],[STOCK MARZO 2021]]-Tabla1[[#This Row],[REQUISICIONES ABRIL 2021]]+Tabla1[[#This Row],[ENTRADAS ABRIL 2021]]</f>
        <v>10</v>
      </c>
      <c r="X549" s="72">
        <f>+Tabla1[[#This Row],[STOCK ABRIL 2021]]-Tabla1[[#This Row],[REQUISICIONES MAYO 2021]]+Tabla1[[#This Row],[ENTRADAS MAYO 2021]]</f>
        <v>8</v>
      </c>
      <c r="Y549" s="72">
        <f>+Tabla1[[#This Row],[STOCK MAYO 2021]]-Tabla1[[#This Row],[REQUISICIONES JUNIO 2021]]+Tabla1[[#This Row],[ENTRADAS JUNIO 2021]]</f>
        <v>6</v>
      </c>
      <c r="Z549" s="73" t="s">
        <v>12</v>
      </c>
      <c r="AA549" s="76">
        <v>168</v>
      </c>
      <c r="AB549" s="35">
        <f t="shared" si="18"/>
        <v>198.24</v>
      </c>
      <c r="AC549" s="93">
        <f>Tabla1[[#This Row],[STOCK JUNIO ]]*Tabla1[[#This Row],[COSTO UNITARIO SIN ITBIS]]</f>
        <v>1008</v>
      </c>
    </row>
    <row r="550" spans="1:29" s="8" customFormat="1" x14ac:dyDescent="0.25">
      <c r="A550" s="265">
        <v>94</v>
      </c>
      <c r="B550" s="74">
        <v>44026</v>
      </c>
      <c r="C550" s="13" t="s">
        <v>11</v>
      </c>
      <c r="D550" s="74">
        <v>44026</v>
      </c>
      <c r="E550" s="145"/>
      <c r="F550" s="13" t="s">
        <v>20</v>
      </c>
      <c r="G550" s="75" t="s">
        <v>393</v>
      </c>
      <c r="H550" s="72">
        <v>10</v>
      </c>
      <c r="I550" s="72"/>
      <c r="J550" s="72">
        <f>+'INVENTARIO ABRIL-JUNIO 2021'!$H550-'INVENTARIO ABRIL-JUNIO 2021'!$I550</f>
        <v>10</v>
      </c>
      <c r="K550" s="72"/>
      <c r="L550" s="72"/>
      <c r="M550" s="72"/>
      <c r="N550" s="72"/>
      <c r="O550" s="296"/>
      <c r="P550" s="72"/>
      <c r="Q550" s="72"/>
      <c r="R550" s="72"/>
      <c r="S550" s="72"/>
      <c r="T550" s="72">
        <f>1+2</f>
        <v>3</v>
      </c>
      <c r="U550" s="72">
        <f>+Tabla1[[#This Row],[STOCK    FISICO ENERO 2021]]-Tabla1[[#This Row],[REQUISICIONES FEBRERO 2021]]</f>
        <v>10</v>
      </c>
      <c r="V550" s="72">
        <f>+Tabla1[[#This Row],[STOCK  FEBRERO 2021]]-Tabla1[[#This Row],[REQUISICIONES MARZO 2021]]+Tabla1[[#This Row],[ENTRADAS MARZO 2021]]</f>
        <v>10</v>
      </c>
      <c r="W550" s="72">
        <f>+Tabla1[[#This Row],[STOCK MARZO 2021]]-Tabla1[[#This Row],[REQUISICIONES ABRIL 2021]]+Tabla1[[#This Row],[ENTRADAS ABRIL 2021]]</f>
        <v>10</v>
      </c>
      <c r="X550" s="72">
        <f>+Tabla1[[#This Row],[STOCK ABRIL 2021]]-Tabla1[[#This Row],[REQUISICIONES MAYO 2021]]+Tabla1[[#This Row],[ENTRADAS MAYO 2021]]</f>
        <v>10</v>
      </c>
      <c r="Y550" s="72">
        <f>+Tabla1[[#This Row],[STOCK MAYO 2021]]-Tabla1[[#This Row],[REQUISICIONES JUNIO 2021]]+Tabla1[[#This Row],[ENTRADAS JUNIO 2021]]</f>
        <v>7</v>
      </c>
      <c r="Z550" s="73" t="s">
        <v>12</v>
      </c>
      <c r="AA550" s="76">
        <v>708</v>
      </c>
      <c r="AB550" s="35">
        <f t="shared" si="18"/>
        <v>835.44</v>
      </c>
      <c r="AC550" s="93">
        <f>Tabla1[[#This Row],[STOCK JUNIO ]]*Tabla1[[#This Row],[COSTO UNITARIO SIN ITBIS]]</f>
        <v>4956</v>
      </c>
    </row>
    <row r="551" spans="1:29" s="8" customFormat="1" x14ac:dyDescent="0.25">
      <c r="A551" s="265">
        <v>95</v>
      </c>
      <c r="B551" s="31"/>
      <c r="C551" s="13" t="s">
        <v>11</v>
      </c>
      <c r="D551" s="31"/>
      <c r="E551" s="137"/>
      <c r="F551" s="28"/>
      <c r="G551" s="32" t="s">
        <v>639</v>
      </c>
      <c r="H551" s="63">
        <v>1</v>
      </c>
      <c r="I551" s="63"/>
      <c r="J551" s="63">
        <f>+'INVENTARIO ABRIL-JUNIO 2021'!$H551-'INVENTARIO ABRIL-JUNIO 2021'!$I551</f>
        <v>1</v>
      </c>
      <c r="K551" s="63"/>
      <c r="L551" s="63"/>
      <c r="M551" s="63"/>
      <c r="N551" s="63"/>
      <c r="O551" s="125"/>
      <c r="P551" s="63"/>
      <c r="Q551" s="63"/>
      <c r="R551" s="63"/>
      <c r="S551" s="63"/>
      <c r="T551" s="63"/>
      <c r="U551" s="63">
        <f>+Tabla1[[#This Row],[STOCK    FISICO ENERO 2021]]-Tabla1[[#This Row],[REQUISICIONES FEBRERO 2021]]</f>
        <v>1</v>
      </c>
      <c r="V551" s="63">
        <f>+Tabla1[[#This Row],[STOCK  FEBRERO 2021]]-Tabla1[[#This Row],[REQUISICIONES MARZO 2021]]+Tabla1[[#This Row],[ENTRADAS MARZO 2021]]</f>
        <v>1</v>
      </c>
      <c r="W551" s="63">
        <f>+Tabla1[[#This Row],[STOCK MARZO 2021]]-Tabla1[[#This Row],[REQUISICIONES ABRIL 2021]]+Tabla1[[#This Row],[ENTRADAS ABRIL 2021]]</f>
        <v>1</v>
      </c>
      <c r="X551" s="63">
        <f>+Tabla1[[#This Row],[STOCK ABRIL 2021]]-Tabla1[[#This Row],[REQUISICIONES MAYO 2021]]+Tabla1[[#This Row],[ENTRADAS MAYO 2021]]</f>
        <v>1</v>
      </c>
      <c r="Y551" s="63">
        <f>+Tabla1[[#This Row],[STOCK MAYO 2021]]-Tabla1[[#This Row],[REQUISICIONES JUNIO 2021]]+Tabla1[[#This Row],[ENTRADAS JUNIO 2021]]</f>
        <v>1</v>
      </c>
      <c r="Z551" s="73" t="s">
        <v>12</v>
      </c>
      <c r="AA551" s="34"/>
      <c r="AB551" s="35"/>
      <c r="AC551" s="93">
        <f>Tabla1[[#This Row],[STOCK JUNIO ]]*Tabla1[[#This Row],[COSTO UNITARIO SIN ITBIS]]</f>
        <v>0</v>
      </c>
    </row>
    <row r="552" spans="1:29" s="8" customFormat="1" x14ac:dyDescent="0.25">
      <c r="A552" s="265">
        <v>96</v>
      </c>
      <c r="B552" s="31">
        <v>44169</v>
      </c>
      <c r="C552" s="28" t="s">
        <v>11</v>
      </c>
      <c r="D552" s="31">
        <v>44147</v>
      </c>
      <c r="E552" s="137"/>
      <c r="F552" s="28">
        <v>1670</v>
      </c>
      <c r="G552" s="32" t="s">
        <v>394</v>
      </c>
      <c r="H552" s="63">
        <v>36</v>
      </c>
      <c r="I552" s="63"/>
      <c r="J552" s="63">
        <f>+'INVENTARIO ABRIL-JUNIO 2021'!$H552-'INVENTARIO ABRIL-JUNIO 2021'!$I552</f>
        <v>36</v>
      </c>
      <c r="K552" s="63"/>
      <c r="L552" s="63"/>
      <c r="M552" s="63"/>
      <c r="N552" s="63"/>
      <c r="O552" s="125"/>
      <c r="P552" s="63"/>
      <c r="Q552" s="63"/>
      <c r="R552" s="63"/>
      <c r="S552" s="63"/>
      <c r="T552" s="63"/>
      <c r="U552" s="63">
        <f>+Tabla1[[#This Row],[STOCK    FISICO ENERO 2021]]-Tabla1[[#This Row],[REQUISICIONES FEBRERO 2021]]</f>
        <v>36</v>
      </c>
      <c r="V552" s="63">
        <f>+Tabla1[[#This Row],[STOCK  FEBRERO 2021]]-Tabla1[[#This Row],[REQUISICIONES MARZO 2021]]+Tabla1[[#This Row],[ENTRADAS MARZO 2021]]</f>
        <v>36</v>
      </c>
      <c r="W552" s="63">
        <f>+Tabla1[[#This Row],[STOCK MARZO 2021]]-Tabla1[[#This Row],[REQUISICIONES ABRIL 2021]]+Tabla1[[#This Row],[ENTRADAS ABRIL 2021]]</f>
        <v>36</v>
      </c>
      <c r="X552" s="63">
        <f>+Tabla1[[#This Row],[STOCK ABRIL 2021]]-Tabla1[[#This Row],[REQUISICIONES MAYO 2021]]+Tabla1[[#This Row],[ENTRADAS MAYO 2021]]</f>
        <v>36</v>
      </c>
      <c r="Y552" s="63">
        <f>+Tabla1[[#This Row],[STOCK MAYO 2021]]-Tabla1[[#This Row],[REQUISICIONES JUNIO 2021]]+Tabla1[[#This Row],[ENTRADAS JUNIO 2021]]</f>
        <v>36</v>
      </c>
      <c r="Z552" s="30" t="s">
        <v>12</v>
      </c>
      <c r="AA552" s="34">
        <v>3.05</v>
      </c>
      <c r="AB552" s="35">
        <f t="shared" ref="AB552:AB570" si="19">AA552*0.18+AA552</f>
        <v>3.5989999999999998</v>
      </c>
      <c r="AC552" s="93">
        <f>Tabla1[[#This Row],[STOCK JUNIO ]]*Tabla1[[#This Row],[COSTO UNITARIO SIN ITBIS]]</f>
        <v>109.8</v>
      </c>
    </row>
    <row r="553" spans="1:29" s="8" customFormat="1" x14ac:dyDescent="0.25">
      <c r="A553" s="265">
        <v>97</v>
      </c>
      <c r="B553" s="74">
        <v>44027</v>
      </c>
      <c r="C553" s="13" t="s">
        <v>11</v>
      </c>
      <c r="D553" s="74">
        <v>44027</v>
      </c>
      <c r="E553" s="145"/>
      <c r="F553" s="13">
        <v>1671</v>
      </c>
      <c r="G553" s="75" t="s">
        <v>395</v>
      </c>
      <c r="H553" s="72">
        <v>24</v>
      </c>
      <c r="I553" s="72"/>
      <c r="J553" s="72">
        <f>+'INVENTARIO ABRIL-JUNIO 2021'!$H553-'INVENTARIO ABRIL-JUNIO 2021'!$I553</f>
        <v>24</v>
      </c>
      <c r="K553" s="72"/>
      <c r="L553" s="72"/>
      <c r="M553" s="72"/>
      <c r="N553" s="72"/>
      <c r="O553" s="296"/>
      <c r="P553" s="72"/>
      <c r="Q553" s="72">
        <v>1</v>
      </c>
      <c r="R553" s="72"/>
      <c r="S553" s="72"/>
      <c r="T553" s="72"/>
      <c r="U553" s="72">
        <f>+Tabla1[[#This Row],[STOCK    FISICO ENERO 2021]]-Tabla1[[#This Row],[REQUISICIONES FEBRERO 2021]]</f>
        <v>24</v>
      </c>
      <c r="V553" s="72">
        <f>+Tabla1[[#This Row],[STOCK  FEBRERO 2021]]-Tabla1[[#This Row],[REQUISICIONES MARZO 2021]]+Tabla1[[#This Row],[ENTRADAS MARZO 2021]]</f>
        <v>23</v>
      </c>
      <c r="W553" s="72">
        <f>+Tabla1[[#This Row],[STOCK MARZO 2021]]-Tabla1[[#This Row],[REQUISICIONES ABRIL 2021]]+Tabla1[[#This Row],[ENTRADAS ABRIL 2021]]</f>
        <v>23</v>
      </c>
      <c r="X553" s="72">
        <f>+Tabla1[[#This Row],[STOCK ABRIL 2021]]-Tabla1[[#This Row],[REQUISICIONES MAYO 2021]]+Tabla1[[#This Row],[ENTRADAS MAYO 2021]]</f>
        <v>23</v>
      </c>
      <c r="Y553" s="72">
        <f>+Tabla1[[#This Row],[STOCK MAYO 2021]]-Tabla1[[#This Row],[REQUISICIONES JUNIO 2021]]+Tabla1[[#This Row],[ENTRADAS JUNIO 2021]]</f>
        <v>23</v>
      </c>
      <c r="Z553" s="73" t="s">
        <v>12</v>
      </c>
      <c r="AA553" s="76">
        <v>3.7</v>
      </c>
      <c r="AB553" s="35">
        <f t="shared" si="19"/>
        <v>4.3660000000000005</v>
      </c>
      <c r="AC553" s="93">
        <f>Tabla1[[#This Row],[STOCK JUNIO ]]*Tabla1[[#This Row],[COSTO UNITARIO SIN ITBIS]]</f>
        <v>85.100000000000009</v>
      </c>
    </row>
    <row r="554" spans="1:29" s="8" customFormat="1" x14ac:dyDescent="0.25">
      <c r="A554" s="265">
        <v>98</v>
      </c>
      <c r="B554" s="31">
        <v>44168</v>
      </c>
      <c r="C554" s="28" t="s">
        <v>11</v>
      </c>
      <c r="D554" s="31">
        <v>44154</v>
      </c>
      <c r="E554" s="137"/>
      <c r="F554" s="13">
        <v>1665</v>
      </c>
      <c r="G554" s="75" t="s">
        <v>396</v>
      </c>
      <c r="H554" s="72">
        <v>20</v>
      </c>
      <c r="I554" s="72"/>
      <c r="J554" s="72">
        <f>+'INVENTARIO ABRIL-JUNIO 2021'!$H554-'INVENTARIO ABRIL-JUNIO 2021'!$I554</f>
        <v>20</v>
      </c>
      <c r="K554" s="72"/>
      <c r="L554" s="72"/>
      <c r="M554" s="72"/>
      <c r="N554" s="72"/>
      <c r="O554" s="296"/>
      <c r="P554" s="72"/>
      <c r="Q554" s="72"/>
      <c r="R554" s="72"/>
      <c r="S554" s="72"/>
      <c r="T554" s="72"/>
      <c r="U554" s="72">
        <f>+Tabla1[[#This Row],[STOCK    FISICO ENERO 2021]]-Tabla1[[#This Row],[REQUISICIONES FEBRERO 2021]]</f>
        <v>20</v>
      </c>
      <c r="V554" s="72">
        <f>+Tabla1[[#This Row],[STOCK  FEBRERO 2021]]-Tabla1[[#This Row],[REQUISICIONES MARZO 2021]]+Tabla1[[#This Row],[ENTRADAS MARZO 2021]]</f>
        <v>20</v>
      </c>
      <c r="W554" s="72">
        <f>+Tabla1[[#This Row],[STOCK MARZO 2021]]-Tabla1[[#This Row],[REQUISICIONES ABRIL 2021]]+Tabla1[[#This Row],[ENTRADAS ABRIL 2021]]</f>
        <v>20</v>
      </c>
      <c r="X554" s="72">
        <f>+Tabla1[[#This Row],[STOCK ABRIL 2021]]-Tabla1[[#This Row],[REQUISICIONES MAYO 2021]]+Tabla1[[#This Row],[ENTRADAS MAYO 2021]]</f>
        <v>20</v>
      </c>
      <c r="Y554" s="72">
        <f>+Tabla1[[#This Row],[STOCK MAYO 2021]]-Tabla1[[#This Row],[REQUISICIONES JUNIO 2021]]+Tabla1[[#This Row],[ENTRADAS JUNIO 2021]]</f>
        <v>20</v>
      </c>
      <c r="Z554" s="73" t="s">
        <v>12</v>
      </c>
      <c r="AA554" s="76">
        <v>19.32</v>
      </c>
      <c r="AB554" s="35">
        <f t="shared" si="19"/>
        <v>22.797599999999999</v>
      </c>
      <c r="AC554" s="93">
        <f>Tabla1[[#This Row],[STOCK JUNIO ]]*Tabla1[[#This Row],[COSTO UNITARIO SIN ITBIS]]</f>
        <v>386.4</v>
      </c>
    </row>
    <row r="555" spans="1:29" s="8" customFormat="1" x14ac:dyDescent="0.25">
      <c r="A555" s="265">
        <v>99</v>
      </c>
      <c r="B555" s="74">
        <v>44026</v>
      </c>
      <c r="C555" s="13" t="s">
        <v>11</v>
      </c>
      <c r="D555" s="74">
        <v>44026</v>
      </c>
      <c r="E555" s="145"/>
      <c r="F555" s="28">
        <v>1663</v>
      </c>
      <c r="G555" s="32" t="s">
        <v>397</v>
      </c>
      <c r="H555" s="63">
        <v>39</v>
      </c>
      <c r="I555" s="63"/>
      <c r="J555" s="63">
        <f>+'INVENTARIO ABRIL-JUNIO 2021'!$H555-'INVENTARIO ABRIL-JUNIO 2021'!$I555</f>
        <v>39</v>
      </c>
      <c r="K555" s="63"/>
      <c r="L555" s="63"/>
      <c r="M555" s="63"/>
      <c r="N555" s="63"/>
      <c r="O555" s="125"/>
      <c r="P555" s="63"/>
      <c r="Q555" s="63">
        <f>1+1</f>
        <v>2</v>
      </c>
      <c r="R555" s="63"/>
      <c r="S555" s="63"/>
      <c r="T555" s="63"/>
      <c r="U555" s="63">
        <f>+Tabla1[[#This Row],[STOCK    FISICO ENERO 2021]]-Tabla1[[#This Row],[REQUISICIONES FEBRERO 2021]]</f>
        <v>39</v>
      </c>
      <c r="V555" s="63">
        <f>+Tabla1[[#This Row],[STOCK  FEBRERO 2021]]-Tabla1[[#This Row],[REQUISICIONES MARZO 2021]]+Tabla1[[#This Row],[ENTRADAS MARZO 2021]]</f>
        <v>37</v>
      </c>
      <c r="W555" s="63">
        <f>+Tabla1[[#This Row],[STOCK MARZO 2021]]-Tabla1[[#This Row],[REQUISICIONES ABRIL 2021]]+Tabla1[[#This Row],[ENTRADAS ABRIL 2021]]</f>
        <v>37</v>
      </c>
      <c r="X555" s="63">
        <f>+Tabla1[[#This Row],[STOCK ABRIL 2021]]-Tabla1[[#This Row],[REQUISICIONES MAYO 2021]]+Tabla1[[#This Row],[ENTRADAS MAYO 2021]]</f>
        <v>37</v>
      </c>
      <c r="Y555" s="63">
        <f>+Tabla1[[#This Row],[STOCK MAYO 2021]]-Tabla1[[#This Row],[REQUISICIONES JUNIO 2021]]+Tabla1[[#This Row],[ENTRADAS JUNIO 2021]]</f>
        <v>37</v>
      </c>
      <c r="Z555" s="30" t="s">
        <v>12</v>
      </c>
      <c r="AA555" s="34">
        <v>13.22</v>
      </c>
      <c r="AB555" s="35">
        <f t="shared" si="19"/>
        <v>15.599600000000001</v>
      </c>
      <c r="AC555" s="93">
        <f>Tabla1[[#This Row],[STOCK JUNIO ]]*Tabla1[[#This Row],[COSTO UNITARIO SIN ITBIS]]</f>
        <v>489.14000000000004</v>
      </c>
    </row>
    <row r="556" spans="1:29" s="8" customFormat="1" x14ac:dyDescent="0.25">
      <c r="A556" s="265">
        <v>100</v>
      </c>
      <c r="B556" s="31">
        <v>44026</v>
      </c>
      <c r="C556" s="28" t="s">
        <v>11</v>
      </c>
      <c r="D556" s="31">
        <v>44026</v>
      </c>
      <c r="E556" s="137"/>
      <c r="F556" s="13">
        <v>1664</v>
      </c>
      <c r="G556" s="75" t="s">
        <v>398</v>
      </c>
      <c r="H556" s="72">
        <v>35</v>
      </c>
      <c r="I556" s="72"/>
      <c r="J556" s="72">
        <f>+'INVENTARIO ABRIL-JUNIO 2021'!$H556-'INVENTARIO ABRIL-JUNIO 2021'!$I556</f>
        <v>35</v>
      </c>
      <c r="K556" s="72"/>
      <c r="L556" s="72"/>
      <c r="M556" s="72"/>
      <c r="N556" s="72"/>
      <c r="O556" s="296"/>
      <c r="P556" s="72">
        <v>5</v>
      </c>
      <c r="Q556" s="72"/>
      <c r="R556" s="72">
        <v>2</v>
      </c>
      <c r="S556" s="72"/>
      <c r="T556" s="72"/>
      <c r="U556" s="72">
        <f>+Tabla1[[#This Row],[STOCK    FISICO ENERO 2021]]-Tabla1[[#This Row],[REQUISICIONES FEBRERO 2021]]</f>
        <v>30</v>
      </c>
      <c r="V556" s="72">
        <f>+Tabla1[[#This Row],[STOCK  FEBRERO 2021]]-Tabla1[[#This Row],[REQUISICIONES MARZO 2021]]+Tabla1[[#This Row],[ENTRADAS MARZO 2021]]</f>
        <v>30</v>
      </c>
      <c r="W556" s="72">
        <f>+Tabla1[[#This Row],[STOCK MARZO 2021]]-Tabla1[[#This Row],[REQUISICIONES ABRIL 2021]]+Tabla1[[#This Row],[ENTRADAS ABRIL 2021]]</f>
        <v>28</v>
      </c>
      <c r="X556" s="72">
        <f>+Tabla1[[#This Row],[STOCK ABRIL 2021]]-Tabla1[[#This Row],[REQUISICIONES MAYO 2021]]+Tabla1[[#This Row],[ENTRADAS MAYO 2021]]</f>
        <v>28</v>
      </c>
      <c r="Y556" s="72">
        <f>+Tabla1[[#This Row],[STOCK MAYO 2021]]-Tabla1[[#This Row],[REQUISICIONES JUNIO 2021]]+Tabla1[[#This Row],[ENTRADAS JUNIO 2021]]</f>
        <v>28</v>
      </c>
      <c r="Z556" s="73" t="s">
        <v>12</v>
      </c>
      <c r="AA556" s="76">
        <v>13.22</v>
      </c>
      <c r="AB556" s="35">
        <f t="shared" si="19"/>
        <v>15.599600000000001</v>
      </c>
      <c r="AC556" s="93">
        <f>Tabla1[[#This Row],[STOCK JUNIO ]]*Tabla1[[#This Row],[COSTO UNITARIO SIN ITBIS]]</f>
        <v>370.16</v>
      </c>
    </row>
    <row r="557" spans="1:29" s="8" customFormat="1" x14ac:dyDescent="0.25">
      <c r="A557" s="265">
        <v>101</v>
      </c>
      <c r="B557" s="31">
        <v>43223</v>
      </c>
      <c r="C557" s="28" t="s">
        <v>11</v>
      </c>
      <c r="D557" s="31">
        <v>43223</v>
      </c>
      <c r="E557" s="137"/>
      <c r="F557" s="13"/>
      <c r="G557" s="75" t="s">
        <v>399</v>
      </c>
      <c r="H557" s="72">
        <v>10</v>
      </c>
      <c r="I557" s="72"/>
      <c r="J557" s="72">
        <f>+'INVENTARIO ABRIL-JUNIO 2021'!$H557-'INVENTARIO ABRIL-JUNIO 2021'!$I557</f>
        <v>10</v>
      </c>
      <c r="K557" s="72"/>
      <c r="L557" s="72"/>
      <c r="M557" s="72"/>
      <c r="N557" s="72"/>
      <c r="O557" s="296"/>
      <c r="P557" s="72"/>
      <c r="Q557" s="72"/>
      <c r="R557" s="72"/>
      <c r="S557" s="72"/>
      <c r="T557" s="72"/>
      <c r="U557" s="72">
        <f>+Tabla1[[#This Row],[STOCK    FISICO ENERO 2021]]-Tabla1[[#This Row],[REQUISICIONES FEBRERO 2021]]</f>
        <v>10</v>
      </c>
      <c r="V557" s="72">
        <f>+Tabla1[[#This Row],[STOCK  FEBRERO 2021]]-Tabla1[[#This Row],[REQUISICIONES MARZO 2021]]+Tabla1[[#This Row],[ENTRADAS MARZO 2021]]</f>
        <v>10</v>
      </c>
      <c r="W557" s="72">
        <f>+Tabla1[[#This Row],[STOCK MARZO 2021]]-Tabla1[[#This Row],[REQUISICIONES ABRIL 2021]]+Tabla1[[#This Row],[ENTRADAS ABRIL 2021]]</f>
        <v>10</v>
      </c>
      <c r="X557" s="72">
        <f>+Tabla1[[#This Row],[STOCK ABRIL 2021]]-Tabla1[[#This Row],[REQUISICIONES MAYO 2021]]+Tabla1[[#This Row],[ENTRADAS MAYO 2021]]</f>
        <v>10</v>
      </c>
      <c r="Y557" s="72">
        <f>+Tabla1[[#This Row],[STOCK MAYO 2021]]-Tabla1[[#This Row],[REQUISICIONES JUNIO 2021]]+Tabla1[[#This Row],[ENTRADAS JUNIO 2021]]</f>
        <v>10</v>
      </c>
      <c r="Z557" s="30" t="s">
        <v>12</v>
      </c>
      <c r="AA557" s="76">
        <v>35.4</v>
      </c>
      <c r="AB557" s="35">
        <f t="shared" si="19"/>
        <v>41.771999999999998</v>
      </c>
      <c r="AC557" s="93">
        <f>Tabla1[[#This Row],[STOCK JUNIO ]]*Tabla1[[#This Row],[COSTO UNITARIO SIN ITBIS]]</f>
        <v>354</v>
      </c>
    </row>
    <row r="558" spans="1:29" s="8" customFormat="1" x14ac:dyDescent="0.25">
      <c r="A558" s="265">
        <v>102</v>
      </c>
      <c r="B558" s="74">
        <v>43223</v>
      </c>
      <c r="C558" s="13" t="s">
        <v>11</v>
      </c>
      <c r="D558" s="74">
        <v>43223</v>
      </c>
      <c r="E558" s="145"/>
      <c r="F558" s="13"/>
      <c r="G558" s="75" t="s">
        <v>400</v>
      </c>
      <c r="H558" s="72">
        <v>4</v>
      </c>
      <c r="I558" s="72"/>
      <c r="J558" s="72">
        <f>+'INVENTARIO ABRIL-JUNIO 2021'!$H558-'INVENTARIO ABRIL-JUNIO 2021'!$I558</f>
        <v>4</v>
      </c>
      <c r="K558" s="72"/>
      <c r="L558" s="72"/>
      <c r="M558" s="72"/>
      <c r="N558" s="72"/>
      <c r="O558" s="296"/>
      <c r="P558" s="72"/>
      <c r="Q558" s="72"/>
      <c r="R558" s="72"/>
      <c r="S558" s="72"/>
      <c r="T558" s="72"/>
      <c r="U558" s="72">
        <f>+Tabla1[[#This Row],[STOCK    FISICO ENERO 2021]]-Tabla1[[#This Row],[REQUISICIONES FEBRERO 2021]]</f>
        <v>4</v>
      </c>
      <c r="V558" s="72">
        <f>+Tabla1[[#This Row],[STOCK  FEBRERO 2021]]-Tabla1[[#This Row],[REQUISICIONES MARZO 2021]]+Tabla1[[#This Row],[ENTRADAS MARZO 2021]]</f>
        <v>4</v>
      </c>
      <c r="W558" s="72">
        <f>+Tabla1[[#This Row],[STOCK MARZO 2021]]-Tabla1[[#This Row],[REQUISICIONES ABRIL 2021]]+Tabla1[[#This Row],[ENTRADAS ABRIL 2021]]</f>
        <v>4</v>
      </c>
      <c r="X558" s="72">
        <f>+Tabla1[[#This Row],[STOCK ABRIL 2021]]-Tabla1[[#This Row],[REQUISICIONES MAYO 2021]]+Tabla1[[#This Row],[ENTRADAS MAYO 2021]]</f>
        <v>4</v>
      </c>
      <c r="Y558" s="72">
        <f>+Tabla1[[#This Row],[STOCK MAYO 2021]]-Tabla1[[#This Row],[REQUISICIONES JUNIO 2021]]+Tabla1[[#This Row],[ENTRADAS JUNIO 2021]]</f>
        <v>4</v>
      </c>
      <c r="Z558" s="30" t="s">
        <v>12</v>
      </c>
      <c r="AA558" s="76">
        <v>35.4</v>
      </c>
      <c r="AB558" s="35">
        <f t="shared" si="19"/>
        <v>41.771999999999998</v>
      </c>
      <c r="AC558" s="93">
        <f>Tabla1[[#This Row],[STOCK JUNIO ]]*Tabla1[[#This Row],[COSTO UNITARIO SIN ITBIS]]</f>
        <v>141.6</v>
      </c>
    </row>
    <row r="559" spans="1:29" s="8" customFormat="1" x14ac:dyDescent="0.25">
      <c r="A559" s="265">
        <v>103</v>
      </c>
      <c r="B559" s="31">
        <v>43223</v>
      </c>
      <c r="C559" s="28" t="s">
        <v>11</v>
      </c>
      <c r="D559" s="31">
        <v>43223</v>
      </c>
      <c r="E559" s="137"/>
      <c r="F559" s="13"/>
      <c r="G559" s="75" t="s">
        <v>401</v>
      </c>
      <c r="H559" s="72">
        <v>4</v>
      </c>
      <c r="I559" s="72"/>
      <c r="J559" s="72">
        <f>+'INVENTARIO ABRIL-JUNIO 2021'!$H559-'INVENTARIO ABRIL-JUNIO 2021'!$I559</f>
        <v>4</v>
      </c>
      <c r="K559" s="72"/>
      <c r="L559" s="72"/>
      <c r="M559" s="72"/>
      <c r="N559" s="72"/>
      <c r="O559" s="296"/>
      <c r="P559" s="72"/>
      <c r="Q559" s="72"/>
      <c r="R559" s="72"/>
      <c r="S559" s="72"/>
      <c r="T559" s="72"/>
      <c r="U559" s="72">
        <f>+Tabla1[[#This Row],[STOCK    FISICO ENERO 2021]]-Tabla1[[#This Row],[REQUISICIONES FEBRERO 2021]]</f>
        <v>4</v>
      </c>
      <c r="V559" s="72">
        <f>+Tabla1[[#This Row],[STOCK  FEBRERO 2021]]-Tabla1[[#This Row],[REQUISICIONES MARZO 2021]]+Tabla1[[#This Row],[ENTRADAS MARZO 2021]]</f>
        <v>4</v>
      </c>
      <c r="W559" s="72">
        <f>+Tabla1[[#This Row],[STOCK MARZO 2021]]-Tabla1[[#This Row],[REQUISICIONES ABRIL 2021]]+Tabla1[[#This Row],[ENTRADAS ABRIL 2021]]</f>
        <v>4</v>
      </c>
      <c r="X559" s="72">
        <f>+Tabla1[[#This Row],[STOCK ABRIL 2021]]-Tabla1[[#This Row],[REQUISICIONES MAYO 2021]]+Tabla1[[#This Row],[ENTRADAS MAYO 2021]]</f>
        <v>4</v>
      </c>
      <c r="Y559" s="72">
        <f>+Tabla1[[#This Row],[STOCK MAYO 2021]]-Tabla1[[#This Row],[REQUISICIONES JUNIO 2021]]+Tabla1[[#This Row],[ENTRADAS JUNIO 2021]]</f>
        <v>4</v>
      </c>
      <c r="Z559" s="30" t="s">
        <v>12</v>
      </c>
      <c r="AA559" s="76">
        <v>1091.5</v>
      </c>
      <c r="AB559" s="35">
        <f t="shared" si="19"/>
        <v>1287.97</v>
      </c>
      <c r="AC559" s="93">
        <f>Tabla1[[#This Row],[STOCK JUNIO ]]*Tabla1[[#This Row],[COSTO UNITARIO SIN ITBIS]]</f>
        <v>4366</v>
      </c>
    </row>
    <row r="560" spans="1:29" s="8" customFormat="1" ht="13.5" customHeight="1" x14ac:dyDescent="0.25">
      <c r="A560" s="265">
        <v>104</v>
      </c>
      <c r="B560" s="31">
        <v>44168</v>
      </c>
      <c r="C560" s="28" t="s">
        <v>11</v>
      </c>
      <c r="D560" s="31">
        <v>44153</v>
      </c>
      <c r="E560" s="137"/>
      <c r="F560" s="28"/>
      <c r="G560" s="32" t="s">
        <v>402</v>
      </c>
      <c r="H560" s="63">
        <v>4</v>
      </c>
      <c r="I560" s="63"/>
      <c r="J560" s="63">
        <f>+'INVENTARIO ABRIL-JUNIO 2021'!$H560-'INVENTARIO ABRIL-JUNIO 2021'!$I560</f>
        <v>4</v>
      </c>
      <c r="K560" s="63"/>
      <c r="L560" s="63"/>
      <c r="M560" s="63"/>
      <c r="N560" s="63"/>
      <c r="O560" s="125"/>
      <c r="P560" s="63"/>
      <c r="Q560" s="63"/>
      <c r="R560" s="63"/>
      <c r="S560" s="63"/>
      <c r="T560" s="63"/>
      <c r="U560" s="63">
        <f>+Tabla1[[#This Row],[STOCK    FISICO ENERO 2021]]-Tabla1[[#This Row],[REQUISICIONES FEBRERO 2021]]</f>
        <v>4</v>
      </c>
      <c r="V560" s="63">
        <f>+Tabla1[[#This Row],[STOCK  FEBRERO 2021]]-Tabla1[[#This Row],[REQUISICIONES MARZO 2021]]+Tabla1[[#This Row],[ENTRADAS MARZO 2021]]</f>
        <v>4</v>
      </c>
      <c r="W560" s="63">
        <f>+Tabla1[[#This Row],[STOCK MARZO 2021]]-Tabla1[[#This Row],[REQUISICIONES ABRIL 2021]]+Tabla1[[#This Row],[ENTRADAS ABRIL 2021]]</f>
        <v>4</v>
      </c>
      <c r="X560" s="63">
        <f>+Tabla1[[#This Row],[STOCK ABRIL 2021]]-Tabla1[[#This Row],[REQUISICIONES MAYO 2021]]+Tabla1[[#This Row],[ENTRADAS MAYO 2021]]</f>
        <v>4</v>
      </c>
      <c r="Y560" s="63">
        <f>+Tabla1[[#This Row],[STOCK MAYO 2021]]-Tabla1[[#This Row],[REQUISICIONES JUNIO 2021]]+Tabla1[[#This Row],[ENTRADAS JUNIO 2021]]</f>
        <v>4</v>
      </c>
      <c r="Z560" s="30" t="s">
        <v>12</v>
      </c>
      <c r="AA560" s="34">
        <v>371.7</v>
      </c>
      <c r="AB560" s="35">
        <f t="shared" si="19"/>
        <v>438.60599999999999</v>
      </c>
      <c r="AC560" s="93">
        <f>Tabla1[[#This Row],[STOCK JUNIO ]]*Tabla1[[#This Row],[COSTO UNITARIO SIN ITBIS]]</f>
        <v>1486.8</v>
      </c>
    </row>
    <row r="561" spans="1:29" s="8" customFormat="1" x14ac:dyDescent="0.25">
      <c r="A561" s="265">
        <v>105</v>
      </c>
      <c r="B561" s="31">
        <v>44168</v>
      </c>
      <c r="C561" s="28" t="s">
        <v>11</v>
      </c>
      <c r="D561" s="31">
        <v>44153</v>
      </c>
      <c r="E561" s="137"/>
      <c r="F561" s="28">
        <v>1720</v>
      </c>
      <c r="G561" s="32" t="s">
        <v>403</v>
      </c>
      <c r="H561" s="63">
        <v>16</v>
      </c>
      <c r="I561" s="63"/>
      <c r="J561" s="63">
        <f>+'INVENTARIO ABRIL-JUNIO 2021'!$H561-'INVENTARIO ABRIL-JUNIO 2021'!$I561</f>
        <v>16</v>
      </c>
      <c r="K561" s="63"/>
      <c r="L561" s="63"/>
      <c r="M561" s="63"/>
      <c r="N561" s="63"/>
      <c r="O561" s="125"/>
      <c r="P561" s="63"/>
      <c r="Q561" s="63"/>
      <c r="R561" s="63"/>
      <c r="S561" s="63"/>
      <c r="T561" s="63"/>
      <c r="U561" s="63">
        <f>+Tabla1[[#This Row],[STOCK    FISICO ENERO 2021]]-Tabla1[[#This Row],[REQUISICIONES FEBRERO 2021]]</f>
        <v>16</v>
      </c>
      <c r="V561" s="63">
        <f>+Tabla1[[#This Row],[STOCK  FEBRERO 2021]]-Tabla1[[#This Row],[REQUISICIONES MARZO 2021]]+Tabla1[[#This Row],[ENTRADAS MARZO 2021]]</f>
        <v>16</v>
      </c>
      <c r="W561" s="63">
        <f>+Tabla1[[#This Row],[STOCK MARZO 2021]]-Tabla1[[#This Row],[REQUISICIONES ABRIL 2021]]+Tabla1[[#This Row],[ENTRADAS ABRIL 2021]]</f>
        <v>16</v>
      </c>
      <c r="X561" s="63">
        <f>+Tabla1[[#This Row],[STOCK ABRIL 2021]]-Tabla1[[#This Row],[REQUISICIONES MAYO 2021]]+Tabla1[[#This Row],[ENTRADAS MAYO 2021]]</f>
        <v>16</v>
      </c>
      <c r="Y561" s="63">
        <f>+Tabla1[[#This Row],[STOCK MAYO 2021]]-Tabla1[[#This Row],[REQUISICIONES JUNIO 2021]]+Tabla1[[#This Row],[ENTRADAS JUNIO 2021]]</f>
        <v>16</v>
      </c>
      <c r="Z561" s="30" t="s">
        <v>12</v>
      </c>
      <c r="AA561" s="34">
        <v>327.22000000000003</v>
      </c>
      <c r="AB561" s="35">
        <f t="shared" si="19"/>
        <v>386.11960000000005</v>
      </c>
      <c r="AC561" s="93">
        <f>Tabla1[[#This Row],[STOCK JUNIO ]]*Tabla1[[#This Row],[COSTO UNITARIO SIN ITBIS]]</f>
        <v>5235.5200000000004</v>
      </c>
    </row>
    <row r="562" spans="1:29" s="8" customFormat="1" x14ac:dyDescent="0.25">
      <c r="A562" s="265">
        <v>106</v>
      </c>
      <c r="B562" s="74">
        <v>44027</v>
      </c>
      <c r="C562" s="13" t="s">
        <v>11</v>
      </c>
      <c r="D562" s="74">
        <v>44027</v>
      </c>
      <c r="E562" s="145"/>
      <c r="F562" s="13">
        <v>1716</v>
      </c>
      <c r="G562" s="75" t="s">
        <v>404</v>
      </c>
      <c r="H562" s="72">
        <v>36</v>
      </c>
      <c r="I562" s="72"/>
      <c r="J562" s="72">
        <f>+'INVENTARIO ABRIL-JUNIO 2021'!$H562-'INVENTARIO ABRIL-JUNIO 2021'!$I562</f>
        <v>36</v>
      </c>
      <c r="K562" s="72"/>
      <c r="L562" s="72"/>
      <c r="M562" s="72"/>
      <c r="N562" s="72"/>
      <c r="O562" s="296"/>
      <c r="P562" s="72"/>
      <c r="Q562" s="72"/>
      <c r="R562" s="72">
        <v>1</v>
      </c>
      <c r="S562" s="72"/>
      <c r="T562" s="72">
        <v>1</v>
      </c>
      <c r="U562" s="72">
        <f>+Tabla1[[#This Row],[STOCK    FISICO ENERO 2021]]-Tabla1[[#This Row],[REQUISICIONES FEBRERO 2021]]</f>
        <v>36</v>
      </c>
      <c r="V562" s="72">
        <f>+Tabla1[[#This Row],[STOCK  FEBRERO 2021]]-Tabla1[[#This Row],[REQUISICIONES MARZO 2021]]+Tabla1[[#This Row],[ENTRADAS MARZO 2021]]</f>
        <v>36</v>
      </c>
      <c r="W562" s="72">
        <f>+Tabla1[[#This Row],[STOCK MARZO 2021]]-Tabla1[[#This Row],[REQUISICIONES ABRIL 2021]]+Tabla1[[#This Row],[ENTRADAS ABRIL 2021]]</f>
        <v>35</v>
      </c>
      <c r="X562" s="72">
        <f>+Tabla1[[#This Row],[STOCK ABRIL 2021]]-Tabla1[[#This Row],[REQUISICIONES MAYO 2021]]+Tabla1[[#This Row],[ENTRADAS MAYO 2021]]</f>
        <v>35</v>
      </c>
      <c r="Y562" s="72">
        <f>+Tabla1[[#This Row],[STOCK MAYO 2021]]-Tabla1[[#This Row],[REQUISICIONES JUNIO 2021]]+Tabla1[[#This Row],[ENTRADAS JUNIO 2021]]</f>
        <v>34</v>
      </c>
      <c r="Z562" s="73" t="s">
        <v>12</v>
      </c>
      <c r="AA562" s="76">
        <v>96.61</v>
      </c>
      <c r="AB562" s="35">
        <f t="shared" si="19"/>
        <v>113.99979999999999</v>
      </c>
      <c r="AC562" s="93">
        <f>Tabla1[[#This Row],[STOCK JUNIO ]]*Tabla1[[#This Row],[COSTO UNITARIO SIN ITBIS]]</f>
        <v>3284.74</v>
      </c>
    </row>
    <row r="563" spans="1:29" s="8" customFormat="1" x14ac:dyDescent="0.25">
      <c r="A563" s="265">
        <v>107</v>
      </c>
      <c r="B563" s="31">
        <v>44027</v>
      </c>
      <c r="C563" s="28" t="s">
        <v>11</v>
      </c>
      <c r="D563" s="31">
        <v>44027</v>
      </c>
      <c r="E563" s="137"/>
      <c r="F563" s="28">
        <v>1718</v>
      </c>
      <c r="G563" s="32" t="s">
        <v>405</v>
      </c>
      <c r="H563" s="63">
        <v>9</v>
      </c>
      <c r="I563" s="63"/>
      <c r="J563" s="63">
        <f>+'INVENTARIO ABRIL-JUNIO 2021'!$H563-'INVENTARIO ABRIL-JUNIO 2021'!$I563</f>
        <v>9</v>
      </c>
      <c r="K563" s="63"/>
      <c r="L563" s="63"/>
      <c r="M563" s="63"/>
      <c r="N563" s="63"/>
      <c r="O563" s="125"/>
      <c r="P563" s="63"/>
      <c r="Q563" s="63"/>
      <c r="R563" s="63"/>
      <c r="S563" s="63"/>
      <c r="T563" s="63"/>
      <c r="U563" s="63">
        <f>+Tabla1[[#This Row],[STOCK    FISICO ENERO 2021]]-Tabla1[[#This Row],[REQUISICIONES FEBRERO 2021]]</f>
        <v>9</v>
      </c>
      <c r="V563" s="63">
        <f>+Tabla1[[#This Row],[STOCK  FEBRERO 2021]]-Tabla1[[#This Row],[REQUISICIONES MARZO 2021]]+Tabla1[[#This Row],[ENTRADAS MARZO 2021]]</f>
        <v>9</v>
      </c>
      <c r="W563" s="63">
        <f>+Tabla1[[#This Row],[STOCK MARZO 2021]]-Tabla1[[#This Row],[REQUISICIONES ABRIL 2021]]+Tabla1[[#This Row],[ENTRADAS ABRIL 2021]]</f>
        <v>9</v>
      </c>
      <c r="X563" s="63">
        <f>+Tabla1[[#This Row],[STOCK ABRIL 2021]]-Tabla1[[#This Row],[REQUISICIONES MAYO 2021]]+Tabla1[[#This Row],[ENTRADAS MAYO 2021]]</f>
        <v>9</v>
      </c>
      <c r="Y563" s="63">
        <f>+Tabla1[[#This Row],[STOCK MAYO 2021]]-Tabla1[[#This Row],[REQUISICIONES JUNIO 2021]]+Tabla1[[#This Row],[ENTRADAS JUNIO 2021]]</f>
        <v>9</v>
      </c>
      <c r="Z563" s="30" t="s">
        <v>12</v>
      </c>
      <c r="AA563" s="34">
        <v>279.66000000000003</v>
      </c>
      <c r="AB563" s="35">
        <f t="shared" si="19"/>
        <v>329.99880000000002</v>
      </c>
      <c r="AC563" s="93">
        <f>Tabla1[[#This Row],[STOCK JUNIO ]]*Tabla1[[#This Row],[COSTO UNITARIO SIN ITBIS]]</f>
        <v>2516.94</v>
      </c>
    </row>
    <row r="564" spans="1:29" s="8" customFormat="1" x14ac:dyDescent="0.25">
      <c r="A564" s="265">
        <v>108</v>
      </c>
      <c r="B564" s="74">
        <v>44027</v>
      </c>
      <c r="C564" s="13" t="s">
        <v>11</v>
      </c>
      <c r="D564" s="74">
        <v>44027</v>
      </c>
      <c r="E564" s="145"/>
      <c r="F564" s="13">
        <v>1717</v>
      </c>
      <c r="G564" s="75" t="s">
        <v>406</v>
      </c>
      <c r="H564" s="72">
        <v>29</v>
      </c>
      <c r="I564" s="72"/>
      <c r="J564" s="72">
        <f>+'INVENTARIO ABRIL-JUNIO 2021'!$H564-'INVENTARIO ABRIL-JUNIO 2021'!$I564</f>
        <v>29</v>
      </c>
      <c r="K564" s="72"/>
      <c r="L564" s="72"/>
      <c r="M564" s="72"/>
      <c r="N564" s="72"/>
      <c r="O564" s="296"/>
      <c r="P564" s="72"/>
      <c r="Q564" s="72"/>
      <c r="R564" s="72"/>
      <c r="S564" s="72"/>
      <c r="T564" s="72"/>
      <c r="U564" s="72">
        <f>+Tabla1[[#This Row],[STOCK    FISICO ENERO 2021]]-Tabla1[[#This Row],[REQUISICIONES FEBRERO 2021]]</f>
        <v>29</v>
      </c>
      <c r="V564" s="72">
        <f>+Tabla1[[#This Row],[STOCK  FEBRERO 2021]]-Tabla1[[#This Row],[REQUISICIONES MARZO 2021]]+Tabla1[[#This Row],[ENTRADAS MARZO 2021]]</f>
        <v>29</v>
      </c>
      <c r="W564" s="72">
        <f>+Tabla1[[#This Row],[STOCK MARZO 2021]]-Tabla1[[#This Row],[REQUISICIONES ABRIL 2021]]+Tabla1[[#This Row],[ENTRADAS ABRIL 2021]]</f>
        <v>29</v>
      </c>
      <c r="X564" s="72">
        <f>+Tabla1[[#This Row],[STOCK ABRIL 2021]]-Tabla1[[#This Row],[REQUISICIONES MAYO 2021]]+Tabla1[[#This Row],[ENTRADAS MAYO 2021]]</f>
        <v>29</v>
      </c>
      <c r="Y564" s="72">
        <f>+Tabla1[[#This Row],[STOCK MAYO 2021]]-Tabla1[[#This Row],[REQUISICIONES JUNIO 2021]]+Tabla1[[#This Row],[ENTRADAS JUNIO 2021]]</f>
        <v>29</v>
      </c>
      <c r="Z564" s="73" t="s">
        <v>12</v>
      </c>
      <c r="AA564" s="76">
        <v>122.03</v>
      </c>
      <c r="AB564" s="35">
        <f t="shared" si="19"/>
        <v>143.99539999999999</v>
      </c>
      <c r="AC564" s="93">
        <f>Tabla1[[#This Row],[STOCK JUNIO ]]*Tabla1[[#This Row],[COSTO UNITARIO SIN ITBIS]]</f>
        <v>3538.87</v>
      </c>
    </row>
    <row r="565" spans="1:29" s="8" customFormat="1" x14ac:dyDescent="0.25">
      <c r="A565" s="265">
        <v>109</v>
      </c>
      <c r="B565" s="31">
        <v>44026</v>
      </c>
      <c r="C565" s="28" t="s">
        <v>11</v>
      </c>
      <c r="D565" s="31">
        <v>44026</v>
      </c>
      <c r="E565" s="137"/>
      <c r="F565" s="28">
        <v>1654</v>
      </c>
      <c r="G565" s="32" t="s">
        <v>407</v>
      </c>
      <c r="H565" s="63">
        <v>6</v>
      </c>
      <c r="I565" s="63"/>
      <c r="J565" s="63">
        <f>+'INVENTARIO ABRIL-JUNIO 2021'!$H565-'INVENTARIO ABRIL-JUNIO 2021'!$I565</f>
        <v>6</v>
      </c>
      <c r="K565" s="63"/>
      <c r="L565" s="63"/>
      <c r="M565" s="63"/>
      <c r="N565" s="63"/>
      <c r="O565" s="125"/>
      <c r="P565" s="63"/>
      <c r="Q565" s="63"/>
      <c r="R565" s="63"/>
      <c r="S565" s="63"/>
      <c r="T565" s="63"/>
      <c r="U565" s="63">
        <f>+Tabla1[[#This Row],[STOCK    FISICO ENERO 2021]]-Tabla1[[#This Row],[REQUISICIONES FEBRERO 2021]]</f>
        <v>6</v>
      </c>
      <c r="V565" s="63">
        <f>+Tabla1[[#This Row],[STOCK  FEBRERO 2021]]-Tabla1[[#This Row],[REQUISICIONES MARZO 2021]]+Tabla1[[#This Row],[ENTRADAS MARZO 2021]]</f>
        <v>6</v>
      </c>
      <c r="W565" s="63">
        <f>+Tabla1[[#This Row],[STOCK MARZO 2021]]-Tabla1[[#This Row],[REQUISICIONES ABRIL 2021]]+Tabla1[[#This Row],[ENTRADAS ABRIL 2021]]</f>
        <v>6</v>
      </c>
      <c r="X565" s="63">
        <f>+Tabla1[[#This Row],[STOCK ABRIL 2021]]-Tabla1[[#This Row],[REQUISICIONES MAYO 2021]]+Tabla1[[#This Row],[ENTRADAS MAYO 2021]]</f>
        <v>6</v>
      </c>
      <c r="Y565" s="63">
        <f>+Tabla1[[#This Row],[STOCK MAYO 2021]]-Tabla1[[#This Row],[REQUISICIONES JUNIO 2021]]+Tabla1[[#This Row],[ENTRADAS JUNIO 2021]]</f>
        <v>6</v>
      </c>
      <c r="Z565" s="30" t="s">
        <v>12</v>
      </c>
      <c r="AA565" s="34">
        <v>46.57</v>
      </c>
      <c r="AB565" s="35">
        <f t="shared" si="19"/>
        <v>54.952600000000004</v>
      </c>
      <c r="AC565" s="93">
        <f>Tabla1[[#This Row],[STOCK JUNIO ]]*Tabla1[[#This Row],[COSTO UNITARIO SIN ITBIS]]</f>
        <v>279.42</v>
      </c>
    </row>
    <row r="566" spans="1:29" s="8" customFormat="1" x14ac:dyDescent="0.25">
      <c r="A566" s="265">
        <v>110</v>
      </c>
      <c r="B566" s="74">
        <v>44027</v>
      </c>
      <c r="C566" s="13" t="s">
        <v>11</v>
      </c>
      <c r="D566" s="74">
        <v>44027</v>
      </c>
      <c r="E566" s="145"/>
      <c r="F566" s="13">
        <v>1705</v>
      </c>
      <c r="G566" s="75" t="s">
        <v>408</v>
      </c>
      <c r="H566" s="72">
        <v>3</v>
      </c>
      <c r="I566" s="72"/>
      <c r="J566" s="72">
        <f>+'INVENTARIO ABRIL-JUNIO 2021'!$H566-'INVENTARIO ABRIL-JUNIO 2021'!$I566</f>
        <v>3</v>
      </c>
      <c r="K566" s="72"/>
      <c r="L566" s="72"/>
      <c r="M566" s="72"/>
      <c r="N566" s="72"/>
      <c r="O566" s="296"/>
      <c r="P566" s="72"/>
      <c r="Q566" s="72"/>
      <c r="R566" s="72"/>
      <c r="S566" s="72"/>
      <c r="T566" s="72"/>
      <c r="U566" s="72">
        <f>+Tabla1[[#This Row],[STOCK    FISICO ENERO 2021]]-Tabla1[[#This Row],[REQUISICIONES FEBRERO 2021]]</f>
        <v>3</v>
      </c>
      <c r="V566" s="72">
        <f>+Tabla1[[#This Row],[STOCK  FEBRERO 2021]]-Tabla1[[#This Row],[REQUISICIONES MARZO 2021]]+Tabla1[[#This Row],[ENTRADAS MARZO 2021]]</f>
        <v>3</v>
      </c>
      <c r="W566" s="72">
        <f>+Tabla1[[#This Row],[STOCK MARZO 2021]]-Tabla1[[#This Row],[REQUISICIONES ABRIL 2021]]+Tabla1[[#This Row],[ENTRADAS ABRIL 2021]]</f>
        <v>3</v>
      </c>
      <c r="X566" s="72">
        <f>+Tabla1[[#This Row],[STOCK ABRIL 2021]]-Tabla1[[#This Row],[REQUISICIONES MAYO 2021]]+Tabla1[[#This Row],[ENTRADAS MAYO 2021]]</f>
        <v>3</v>
      </c>
      <c r="Y566" s="72">
        <f>+Tabla1[[#This Row],[STOCK MAYO 2021]]-Tabla1[[#This Row],[REQUISICIONES JUNIO 2021]]+Tabla1[[#This Row],[ENTRADAS JUNIO 2021]]</f>
        <v>3</v>
      </c>
      <c r="Z566" s="73" t="s">
        <v>12</v>
      </c>
      <c r="AA566" s="76">
        <v>1830.51</v>
      </c>
      <c r="AB566" s="35">
        <f t="shared" si="19"/>
        <v>2160.0018</v>
      </c>
      <c r="AC566" s="93">
        <f>Tabla1[[#This Row],[STOCK JUNIO ]]*Tabla1[[#This Row],[COSTO UNITARIO SIN ITBIS]]</f>
        <v>5491.53</v>
      </c>
    </row>
    <row r="567" spans="1:29" s="8" customFormat="1" x14ac:dyDescent="0.25">
      <c r="A567" s="265">
        <v>111</v>
      </c>
      <c r="B567" s="74">
        <v>44027</v>
      </c>
      <c r="C567" s="13" t="s">
        <v>11</v>
      </c>
      <c r="D567" s="74">
        <v>44027</v>
      </c>
      <c r="E567" s="145"/>
      <c r="F567" s="13">
        <v>1706</v>
      </c>
      <c r="G567" s="75" t="s">
        <v>641</v>
      </c>
      <c r="H567" s="72">
        <v>28</v>
      </c>
      <c r="I567" s="72"/>
      <c r="J567" s="72">
        <f>+'INVENTARIO ABRIL-JUNIO 2021'!$H567-'INVENTARIO ABRIL-JUNIO 2021'!$I567</f>
        <v>28</v>
      </c>
      <c r="K567" s="72"/>
      <c r="L567" s="72"/>
      <c r="M567" s="72"/>
      <c r="N567" s="72"/>
      <c r="O567" s="296"/>
      <c r="P567" s="72"/>
      <c r="Q567" s="72"/>
      <c r="R567" s="72"/>
      <c r="S567" s="72">
        <v>1</v>
      </c>
      <c r="T567" s="72"/>
      <c r="U567" s="72">
        <f>+Tabla1[[#This Row],[STOCK    FISICO ENERO 2021]]-Tabla1[[#This Row],[REQUISICIONES FEBRERO 2021]]</f>
        <v>28</v>
      </c>
      <c r="V567" s="72">
        <f>+Tabla1[[#This Row],[STOCK  FEBRERO 2021]]-Tabla1[[#This Row],[REQUISICIONES MARZO 2021]]+Tabla1[[#This Row],[ENTRADAS MARZO 2021]]</f>
        <v>28</v>
      </c>
      <c r="W567" s="72">
        <f>+Tabla1[[#This Row],[STOCK MARZO 2021]]-Tabla1[[#This Row],[REQUISICIONES ABRIL 2021]]+Tabla1[[#This Row],[ENTRADAS ABRIL 2021]]</f>
        <v>28</v>
      </c>
      <c r="X567" s="72">
        <f>+Tabla1[[#This Row],[STOCK ABRIL 2021]]-Tabla1[[#This Row],[REQUISICIONES MAYO 2021]]+Tabla1[[#This Row],[ENTRADAS MAYO 2021]]</f>
        <v>27</v>
      </c>
      <c r="Y567" s="72">
        <f>+Tabla1[[#This Row],[STOCK MAYO 2021]]-Tabla1[[#This Row],[REQUISICIONES JUNIO 2021]]+Tabla1[[#This Row],[ENTRADAS JUNIO 2021]]</f>
        <v>27</v>
      </c>
      <c r="Z567" s="73" t="s">
        <v>12</v>
      </c>
      <c r="AA567" s="76">
        <v>522</v>
      </c>
      <c r="AB567" s="35">
        <f t="shared" si="19"/>
        <v>615.96</v>
      </c>
      <c r="AC567" s="93">
        <f>Tabla1[[#This Row],[STOCK JUNIO ]]*Tabla1[[#This Row],[COSTO UNITARIO SIN ITBIS]]</f>
        <v>14094</v>
      </c>
    </row>
    <row r="568" spans="1:29" s="8" customFormat="1" x14ac:dyDescent="0.25">
      <c r="A568" s="265">
        <v>112</v>
      </c>
      <c r="B568" s="31">
        <v>44027</v>
      </c>
      <c r="C568" s="28" t="s">
        <v>11</v>
      </c>
      <c r="D568" s="31">
        <v>44027</v>
      </c>
      <c r="E568" s="137"/>
      <c r="F568" s="28">
        <v>1708</v>
      </c>
      <c r="G568" s="32" t="s">
        <v>409</v>
      </c>
      <c r="H568" s="63">
        <v>2</v>
      </c>
      <c r="I568" s="63"/>
      <c r="J568" s="63">
        <f>+'INVENTARIO ABRIL-JUNIO 2021'!$H568-'INVENTARIO ABRIL-JUNIO 2021'!$I568</f>
        <v>2</v>
      </c>
      <c r="K568" s="63"/>
      <c r="L568" s="63"/>
      <c r="M568" s="63"/>
      <c r="N568" s="63"/>
      <c r="O568" s="125"/>
      <c r="P568" s="63"/>
      <c r="Q568" s="63"/>
      <c r="R568" s="63"/>
      <c r="S568" s="63"/>
      <c r="T568" s="63"/>
      <c r="U568" s="63">
        <f>+Tabla1[[#This Row],[STOCK    FISICO ENERO 2021]]-Tabla1[[#This Row],[REQUISICIONES FEBRERO 2021]]</f>
        <v>2</v>
      </c>
      <c r="V568" s="63">
        <f>+Tabla1[[#This Row],[STOCK  FEBRERO 2021]]-Tabla1[[#This Row],[REQUISICIONES MARZO 2021]]+Tabla1[[#This Row],[ENTRADAS MARZO 2021]]</f>
        <v>2</v>
      </c>
      <c r="W568" s="63">
        <f>+Tabla1[[#This Row],[STOCK MARZO 2021]]-Tabla1[[#This Row],[REQUISICIONES ABRIL 2021]]+Tabla1[[#This Row],[ENTRADAS ABRIL 2021]]</f>
        <v>2</v>
      </c>
      <c r="X568" s="63">
        <f>+Tabla1[[#This Row],[STOCK ABRIL 2021]]-Tabla1[[#This Row],[REQUISICIONES MAYO 2021]]+Tabla1[[#This Row],[ENTRADAS MAYO 2021]]</f>
        <v>2</v>
      </c>
      <c r="Y568" s="63">
        <f>+Tabla1[[#This Row],[STOCK MAYO 2021]]-Tabla1[[#This Row],[REQUISICIONES JUNIO 2021]]+Tabla1[[#This Row],[ENTRADAS JUNIO 2021]]</f>
        <v>2</v>
      </c>
      <c r="Z568" s="30" t="s">
        <v>12</v>
      </c>
      <c r="AA568" s="34">
        <v>4983.05</v>
      </c>
      <c r="AB568" s="35">
        <f t="shared" si="19"/>
        <v>5879.9989999999998</v>
      </c>
      <c r="AC568" s="93">
        <f>Tabla1[[#This Row],[STOCK JUNIO ]]*Tabla1[[#This Row],[COSTO UNITARIO SIN ITBIS]]</f>
        <v>9966.1</v>
      </c>
    </row>
    <row r="569" spans="1:29" s="8" customFormat="1" x14ac:dyDescent="0.25">
      <c r="A569" s="265">
        <v>113</v>
      </c>
      <c r="B569" s="74">
        <v>44026</v>
      </c>
      <c r="C569" s="13" t="s">
        <v>11</v>
      </c>
      <c r="D569" s="74">
        <v>44026</v>
      </c>
      <c r="E569" s="145"/>
      <c r="F569" s="13">
        <v>1668</v>
      </c>
      <c r="G569" s="75" t="s">
        <v>410</v>
      </c>
      <c r="H569" s="72">
        <v>13</v>
      </c>
      <c r="I569" s="72"/>
      <c r="J569" s="72">
        <f>+'INVENTARIO ABRIL-JUNIO 2021'!$H569-'INVENTARIO ABRIL-JUNIO 2021'!$I569</f>
        <v>13</v>
      </c>
      <c r="K569" s="72"/>
      <c r="L569" s="72"/>
      <c r="M569" s="72"/>
      <c r="N569" s="72"/>
      <c r="O569" s="296"/>
      <c r="P569" s="72"/>
      <c r="Q569" s="72">
        <v>2</v>
      </c>
      <c r="R569" s="72"/>
      <c r="S569" s="72"/>
      <c r="T569" s="72"/>
      <c r="U569" s="72">
        <f>+Tabla1[[#This Row],[STOCK    FISICO ENERO 2021]]-Tabla1[[#This Row],[REQUISICIONES FEBRERO 2021]]</f>
        <v>13</v>
      </c>
      <c r="V569" s="72">
        <f>+Tabla1[[#This Row],[STOCK  FEBRERO 2021]]-Tabla1[[#This Row],[REQUISICIONES MARZO 2021]]+Tabla1[[#This Row],[ENTRADAS MARZO 2021]]</f>
        <v>11</v>
      </c>
      <c r="W569" s="72">
        <f>+Tabla1[[#This Row],[STOCK MARZO 2021]]-Tabla1[[#This Row],[REQUISICIONES ABRIL 2021]]+Tabla1[[#This Row],[ENTRADAS ABRIL 2021]]</f>
        <v>11</v>
      </c>
      <c r="X569" s="72">
        <f>+Tabla1[[#This Row],[STOCK ABRIL 2021]]-Tabla1[[#This Row],[REQUISICIONES MAYO 2021]]+Tabla1[[#This Row],[ENTRADAS MAYO 2021]]</f>
        <v>11</v>
      </c>
      <c r="Y569" s="72">
        <f>+Tabla1[[#This Row],[STOCK MAYO 2021]]-Tabla1[[#This Row],[REQUISICIONES JUNIO 2021]]+Tabla1[[#This Row],[ENTRADAS JUNIO 2021]]</f>
        <v>11</v>
      </c>
      <c r="Z569" s="73" t="s">
        <v>12</v>
      </c>
      <c r="AA569" s="76">
        <v>38.64</v>
      </c>
      <c r="AB569" s="35">
        <f t="shared" si="19"/>
        <v>45.595199999999998</v>
      </c>
      <c r="AC569" s="93">
        <f>Tabla1[[#This Row],[STOCK JUNIO ]]*Tabla1[[#This Row],[COSTO UNITARIO SIN ITBIS]]</f>
        <v>425.04</v>
      </c>
    </row>
    <row r="570" spans="1:29" s="8" customFormat="1" x14ac:dyDescent="0.25">
      <c r="A570" s="265">
        <v>114</v>
      </c>
      <c r="B570" s="31">
        <v>44026</v>
      </c>
      <c r="C570" s="28" t="s">
        <v>11</v>
      </c>
      <c r="D570" s="31">
        <v>44026</v>
      </c>
      <c r="E570" s="137"/>
      <c r="F570" s="28">
        <v>1669</v>
      </c>
      <c r="G570" s="32" t="s">
        <v>411</v>
      </c>
      <c r="H570" s="63">
        <v>27</v>
      </c>
      <c r="I570" s="63"/>
      <c r="J570" s="63">
        <f>+'INVENTARIO ABRIL-JUNIO 2021'!$H570-'INVENTARIO ABRIL-JUNIO 2021'!$I570</f>
        <v>27</v>
      </c>
      <c r="K570" s="63"/>
      <c r="L570" s="63"/>
      <c r="M570" s="63"/>
      <c r="N570" s="63"/>
      <c r="O570" s="125"/>
      <c r="P570" s="63"/>
      <c r="Q570" s="63"/>
      <c r="R570" s="63"/>
      <c r="S570" s="63"/>
      <c r="T570" s="63">
        <v>1</v>
      </c>
      <c r="U570" s="63">
        <f>+Tabla1[[#This Row],[STOCK    FISICO ENERO 2021]]-Tabla1[[#This Row],[REQUISICIONES FEBRERO 2021]]</f>
        <v>27</v>
      </c>
      <c r="V570" s="63">
        <f>+Tabla1[[#This Row],[STOCK  FEBRERO 2021]]-Tabla1[[#This Row],[REQUISICIONES MARZO 2021]]+Tabla1[[#This Row],[ENTRADAS MARZO 2021]]</f>
        <v>27</v>
      </c>
      <c r="W570" s="63">
        <f>+Tabla1[[#This Row],[STOCK MARZO 2021]]-Tabla1[[#This Row],[REQUISICIONES ABRIL 2021]]+Tabla1[[#This Row],[ENTRADAS ABRIL 2021]]</f>
        <v>27</v>
      </c>
      <c r="X570" s="63">
        <f>+Tabla1[[#This Row],[STOCK ABRIL 2021]]-Tabla1[[#This Row],[REQUISICIONES MAYO 2021]]+Tabla1[[#This Row],[ENTRADAS MAYO 2021]]</f>
        <v>27</v>
      </c>
      <c r="Y570" s="63">
        <f>+Tabla1[[#This Row],[STOCK MAYO 2021]]-Tabla1[[#This Row],[REQUISICIONES JUNIO 2021]]+Tabla1[[#This Row],[ENTRADAS JUNIO 2021]]</f>
        <v>26</v>
      </c>
      <c r="Z570" s="30" t="s">
        <v>12</v>
      </c>
      <c r="AA570" s="34">
        <v>69.150000000000006</v>
      </c>
      <c r="AB570" s="35">
        <f t="shared" si="19"/>
        <v>81.597000000000008</v>
      </c>
      <c r="AC570" s="93">
        <f>Tabla1[[#This Row],[STOCK JUNIO ]]*Tabla1[[#This Row],[COSTO UNITARIO SIN ITBIS]]</f>
        <v>1797.9</v>
      </c>
    </row>
    <row r="571" spans="1:29" s="8" customFormat="1" x14ac:dyDescent="0.25">
      <c r="A571" s="265">
        <v>115</v>
      </c>
      <c r="B571" s="31"/>
      <c r="C571" s="28" t="s">
        <v>11</v>
      </c>
      <c r="D571" s="31"/>
      <c r="E571" s="137"/>
      <c r="F571" s="28"/>
      <c r="G571" s="32" t="s">
        <v>642</v>
      </c>
      <c r="H571" s="63">
        <v>1</v>
      </c>
      <c r="I571" s="63"/>
      <c r="J571" s="63">
        <f>+'INVENTARIO ABRIL-JUNIO 2021'!$H571-'INVENTARIO ABRIL-JUNIO 2021'!$I571</f>
        <v>1</v>
      </c>
      <c r="K571" s="63"/>
      <c r="L571" s="63"/>
      <c r="M571" s="63"/>
      <c r="N571" s="63"/>
      <c r="O571" s="125"/>
      <c r="P571" s="63"/>
      <c r="Q571" s="63"/>
      <c r="R571" s="63"/>
      <c r="S571" s="63"/>
      <c r="T571" s="63"/>
      <c r="U571" s="63">
        <f>+Tabla1[[#This Row],[STOCK    FISICO ENERO 2021]]-Tabla1[[#This Row],[REQUISICIONES FEBRERO 2021]]</f>
        <v>1</v>
      </c>
      <c r="V571" s="63">
        <f>+Tabla1[[#This Row],[STOCK  FEBRERO 2021]]-Tabla1[[#This Row],[REQUISICIONES MARZO 2021]]+Tabla1[[#This Row],[ENTRADAS MARZO 2021]]</f>
        <v>1</v>
      </c>
      <c r="W571" s="63">
        <f>+Tabla1[[#This Row],[STOCK MARZO 2021]]-Tabla1[[#This Row],[REQUISICIONES ABRIL 2021]]+Tabla1[[#This Row],[ENTRADAS ABRIL 2021]]</f>
        <v>1</v>
      </c>
      <c r="X571" s="63">
        <f>+Tabla1[[#This Row],[STOCK ABRIL 2021]]-Tabla1[[#This Row],[REQUISICIONES MAYO 2021]]+Tabla1[[#This Row],[ENTRADAS MAYO 2021]]</f>
        <v>1</v>
      </c>
      <c r="Y571" s="63">
        <f>+Tabla1[[#This Row],[STOCK MAYO 2021]]-Tabla1[[#This Row],[REQUISICIONES JUNIO 2021]]+Tabla1[[#This Row],[ENTRADAS JUNIO 2021]]</f>
        <v>1</v>
      </c>
      <c r="Z571" s="30" t="s">
        <v>12</v>
      </c>
      <c r="AA571" s="34"/>
      <c r="AB571" s="35"/>
      <c r="AC571" s="93">
        <f>Tabla1[[#This Row],[STOCK JUNIO ]]*Tabla1[[#This Row],[COSTO UNITARIO SIN ITBIS]]</f>
        <v>0</v>
      </c>
    </row>
    <row r="572" spans="1:29" s="8" customFormat="1" x14ac:dyDescent="0.25">
      <c r="A572" s="265">
        <v>116</v>
      </c>
      <c r="B572" s="74">
        <v>44109</v>
      </c>
      <c r="C572" s="13" t="s">
        <v>11</v>
      </c>
      <c r="D572" s="74">
        <v>44109</v>
      </c>
      <c r="E572" s="145"/>
      <c r="F572" s="13" t="s">
        <v>20</v>
      </c>
      <c r="G572" s="75" t="s">
        <v>412</v>
      </c>
      <c r="H572" s="72">
        <v>9</v>
      </c>
      <c r="I572" s="72"/>
      <c r="J572" s="72">
        <f>+'INVENTARIO ABRIL-JUNIO 2021'!$H572-'INVENTARIO ABRIL-JUNIO 2021'!$I572</f>
        <v>9</v>
      </c>
      <c r="K572" s="72"/>
      <c r="L572" s="72"/>
      <c r="M572" s="72"/>
      <c r="N572" s="72"/>
      <c r="O572" s="296"/>
      <c r="P572" s="72"/>
      <c r="Q572" s="72"/>
      <c r="R572" s="72"/>
      <c r="S572" s="72"/>
      <c r="T572" s="72">
        <v>1</v>
      </c>
      <c r="U572" s="72">
        <f>+Tabla1[[#This Row],[STOCK    FISICO ENERO 2021]]-Tabla1[[#This Row],[REQUISICIONES FEBRERO 2021]]</f>
        <v>9</v>
      </c>
      <c r="V572" s="72">
        <f>+Tabla1[[#This Row],[STOCK  FEBRERO 2021]]-Tabla1[[#This Row],[REQUISICIONES MARZO 2021]]+Tabla1[[#This Row],[ENTRADAS MARZO 2021]]</f>
        <v>9</v>
      </c>
      <c r="W572" s="72">
        <f>+Tabla1[[#This Row],[STOCK MARZO 2021]]-Tabla1[[#This Row],[REQUISICIONES ABRIL 2021]]+Tabla1[[#This Row],[ENTRADAS ABRIL 2021]]</f>
        <v>9</v>
      </c>
      <c r="X572" s="72">
        <f>+Tabla1[[#This Row],[STOCK ABRIL 2021]]-Tabla1[[#This Row],[REQUISICIONES MAYO 2021]]+Tabla1[[#This Row],[ENTRADAS MAYO 2021]]</f>
        <v>9</v>
      </c>
      <c r="Y572" s="72">
        <f>+Tabla1[[#This Row],[STOCK MAYO 2021]]-Tabla1[[#This Row],[REQUISICIONES JUNIO 2021]]+Tabla1[[#This Row],[ENTRADAS JUNIO 2021]]</f>
        <v>8</v>
      </c>
      <c r="Z572" s="30" t="s">
        <v>12</v>
      </c>
      <c r="AA572" s="76">
        <v>193.22</v>
      </c>
      <c r="AB572" s="35">
        <f>AA572*0.18+AA572</f>
        <v>227.99959999999999</v>
      </c>
      <c r="AC572" s="93">
        <f>Tabla1[[#This Row],[STOCK JUNIO ]]*Tabla1[[#This Row],[COSTO UNITARIO SIN ITBIS]]</f>
        <v>1545.76</v>
      </c>
    </row>
    <row r="573" spans="1:29" s="8" customFormat="1" x14ac:dyDescent="0.25">
      <c r="A573" s="265">
        <v>117</v>
      </c>
      <c r="B573" s="31">
        <v>44109</v>
      </c>
      <c r="C573" s="28" t="s">
        <v>11</v>
      </c>
      <c r="D573" s="31">
        <v>44109</v>
      </c>
      <c r="E573" s="137"/>
      <c r="F573" s="28" t="s">
        <v>20</v>
      </c>
      <c r="G573" s="32" t="s">
        <v>413</v>
      </c>
      <c r="H573" s="63">
        <v>1</v>
      </c>
      <c r="I573" s="63"/>
      <c r="J573" s="63">
        <f>+'INVENTARIO ABRIL-JUNIO 2021'!$H573-'INVENTARIO ABRIL-JUNIO 2021'!$I573</f>
        <v>1</v>
      </c>
      <c r="K573" s="63"/>
      <c r="L573" s="63"/>
      <c r="M573" s="63"/>
      <c r="N573" s="63"/>
      <c r="O573" s="125"/>
      <c r="P573" s="63"/>
      <c r="Q573" s="63"/>
      <c r="R573" s="63"/>
      <c r="S573" s="63"/>
      <c r="T573" s="63"/>
      <c r="U573" s="63">
        <f>+Tabla1[[#This Row],[STOCK    FISICO ENERO 2021]]-Tabla1[[#This Row],[REQUISICIONES FEBRERO 2021]]</f>
        <v>1</v>
      </c>
      <c r="V573" s="63">
        <f>+Tabla1[[#This Row],[STOCK  FEBRERO 2021]]-Tabla1[[#This Row],[REQUISICIONES MARZO 2021]]+Tabla1[[#This Row],[ENTRADAS MARZO 2021]]</f>
        <v>1</v>
      </c>
      <c r="W573" s="63">
        <f>+Tabla1[[#This Row],[STOCK MARZO 2021]]-Tabla1[[#This Row],[REQUISICIONES ABRIL 2021]]+Tabla1[[#This Row],[ENTRADAS ABRIL 2021]]</f>
        <v>1</v>
      </c>
      <c r="X573" s="63">
        <f>+Tabla1[[#This Row],[STOCK ABRIL 2021]]-Tabla1[[#This Row],[REQUISICIONES MAYO 2021]]+Tabla1[[#This Row],[ENTRADAS MAYO 2021]]</f>
        <v>1</v>
      </c>
      <c r="Y573" s="63">
        <f>+Tabla1[[#This Row],[STOCK MAYO 2021]]-Tabla1[[#This Row],[REQUISICIONES JUNIO 2021]]+Tabla1[[#This Row],[ENTRADAS JUNIO 2021]]</f>
        <v>1</v>
      </c>
      <c r="Z573" s="30" t="s">
        <v>12</v>
      </c>
      <c r="AA573" s="34">
        <v>38.64</v>
      </c>
      <c r="AB573" s="35">
        <f>AA573*0.18+AA573</f>
        <v>45.595199999999998</v>
      </c>
      <c r="AC573" s="93">
        <f>Tabla1[[#This Row],[STOCK JUNIO ]]*Tabla1[[#This Row],[COSTO UNITARIO SIN ITBIS]]</f>
        <v>38.64</v>
      </c>
    </row>
    <row r="574" spans="1:29" s="8" customFormat="1" ht="15.75" thickBot="1" x14ac:dyDescent="0.3">
      <c r="A574" s="57"/>
      <c r="B574" s="56"/>
      <c r="C574" s="56"/>
      <c r="D574" s="56"/>
      <c r="E574" s="141"/>
      <c r="F574" s="56"/>
      <c r="G574" s="56"/>
      <c r="H574" s="57"/>
      <c r="I574" s="57"/>
      <c r="J574" s="57">
        <f>+'INVENTARIO ABRIL-JUNIO 2021'!$H574-'INVENTARIO ABRIL-JUNIO 2021'!$I574</f>
        <v>0</v>
      </c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6"/>
      <c r="AA574" s="58"/>
      <c r="AB574" s="58" t="s">
        <v>712</v>
      </c>
      <c r="AC574" s="95">
        <f>SUM(AC457:AC573)</f>
        <v>344607.80999999994</v>
      </c>
    </row>
    <row r="575" spans="1:29" s="8" customFormat="1" ht="15.75" thickTop="1" x14ac:dyDescent="0.25">
      <c r="A575" s="262" t="s">
        <v>414</v>
      </c>
      <c r="B575" s="61"/>
      <c r="C575" s="61"/>
      <c r="D575" s="61"/>
      <c r="E575" s="96"/>
      <c r="F575" s="61"/>
      <c r="G575" s="61"/>
      <c r="H575" s="61"/>
      <c r="I575" s="61"/>
      <c r="J575" s="61"/>
      <c r="K575" s="61"/>
      <c r="L575" s="61"/>
      <c r="M575" s="61"/>
      <c r="N575" s="61"/>
      <c r="O575" s="262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96"/>
    </row>
    <row r="576" spans="1:29" s="8" customFormat="1" ht="12" customHeight="1" x14ac:dyDescent="0.25">
      <c r="A576" s="265">
        <v>1</v>
      </c>
      <c r="B576" s="31">
        <v>44026</v>
      </c>
      <c r="C576" s="28" t="s">
        <v>11</v>
      </c>
      <c r="D576" s="31">
        <v>44026</v>
      </c>
      <c r="E576" s="137"/>
      <c r="F576" s="28">
        <v>1567</v>
      </c>
      <c r="G576" s="32" t="s">
        <v>415</v>
      </c>
      <c r="H576" s="63">
        <v>1</v>
      </c>
      <c r="I576" s="63"/>
      <c r="J576" s="63">
        <f>+'INVENTARIO ABRIL-JUNIO 2021'!$H576-'INVENTARIO ABRIL-JUNIO 2021'!$I576</f>
        <v>1</v>
      </c>
      <c r="K576" s="63"/>
      <c r="L576" s="63"/>
      <c r="M576" s="63"/>
      <c r="N576" s="63"/>
      <c r="O576" s="125"/>
      <c r="P576" s="63"/>
      <c r="Q576" s="63"/>
      <c r="R576" s="63"/>
      <c r="S576" s="63"/>
      <c r="T576" s="63"/>
      <c r="U576" s="63">
        <f>+Tabla1[[#This Row],[STOCK    FISICO ENERO 2021]]-Tabla1[[#This Row],[REQUISICIONES FEBRERO 2021]]</f>
        <v>1</v>
      </c>
      <c r="V576" s="63">
        <f>+Tabla1[[#This Row],[STOCK  FEBRERO 2021]]-Tabla1[[#This Row],[REQUISICIONES MARZO 2021]]+Tabla1[[#This Row],[ENTRADAS MARZO 2021]]</f>
        <v>1</v>
      </c>
      <c r="W576" s="63">
        <f>+Tabla1[[#This Row],[STOCK MARZO 2021]]-Tabla1[[#This Row],[REQUISICIONES ABRIL 2021]]+Tabla1[[#This Row],[ENTRADAS ABRIL 2021]]</f>
        <v>1</v>
      </c>
      <c r="X576" s="63">
        <f>+Tabla1[[#This Row],[STOCK ABRIL 2021]]-Tabla1[[#This Row],[REQUISICIONES MAYO 2021]]+Tabla1[[#This Row],[ENTRADAS MAYO 2021]]</f>
        <v>1</v>
      </c>
      <c r="Y576" s="63">
        <f>+Tabla1[[#This Row],[STOCK MAYO 2021]]-Tabla1[[#This Row],[REQUISICIONES JUNIO 2021]]+Tabla1[[#This Row],[ENTRADAS JUNIO 2021]]</f>
        <v>1</v>
      </c>
      <c r="Z576" s="30" t="s">
        <v>12</v>
      </c>
      <c r="AA576" s="34">
        <v>1805.08</v>
      </c>
      <c r="AB576" s="35">
        <f t="shared" ref="AB576:AB590" si="20">AA576*0.18+AA576</f>
        <v>2129.9944</v>
      </c>
      <c r="AC576" s="93">
        <f>Tabla1[[#This Row],[STOCK JUNIO ]]*Tabla1[[#This Row],[COSTO UNITARIO SIN ITBIS]]</f>
        <v>1805.08</v>
      </c>
    </row>
    <row r="577" spans="1:29" s="10" customFormat="1" x14ac:dyDescent="0.25">
      <c r="A577" s="265">
        <v>2</v>
      </c>
      <c r="B577" s="31">
        <v>44168</v>
      </c>
      <c r="C577" s="28" t="s">
        <v>11</v>
      </c>
      <c r="D577" s="31">
        <v>44153</v>
      </c>
      <c r="E577" s="137"/>
      <c r="F577" s="28" t="s">
        <v>20</v>
      </c>
      <c r="G577" s="32" t="s">
        <v>416</v>
      </c>
      <c r="H577" s="63">
        <v>1</v>
      </c>
      <c r="I577" s="63"/>
      <c r="J577" s="63">
        <f>+'INVENTARIO ABRIL-JUNIO 2021'!$H577-'INVENTARIO ABRIL-JUNIO 2021'!$I577</f>
        <v>1</v>
      </c>
      <c r="K577" s="63"/>
      <c r="L577" s="63"/>
      <c r="M577" s="63"/>
      <c r="N577" s="63"/>
      <c r="O577" s="125"/>
      <c r="P577" s="63"/>
      <c r="Q577" s="63"/>
      <c r="R577" s="63"/>
      <c r="S577" s="63"/>
      <c r="T577" s="63"/>
      <c r="U577" s="63">
        <f>+Tabla1[[#This Row],[STOCK    FISICO ENERO 2021]]-Tabla1[[#This Row],[REQUISICIONES FEBRERO 2021]]</f>
        <v>1</v>
      </c>
      <c r="V577" s="63">
        <f>+Tabla1[[#This Row],[STOCK  FEBRERO 2021]]-Tabla1[[#This Row],[REQUISICIONES MARZO 2021]]+Tabla1[[#This Row],[ENTRADAS MARZO 2021]]</f>
        <v>1</v>
      </c>
      <c r="W577" s="63">
        <f>+Tabla1[[#This Row],[STOCK MARZO 2021]]-Tabla1[[#This Row],[REQUISICIONES ABRIL 2021]]+Tabla1[[#This Row],[ENTRADAS ABRIL 2021]]</f>
        <v>1</v>
      </c>
      <c r="X577" s="63">
        <f>+Tabla1[[#This Row],[STOCK ABRIL 2021]]-Tabla1[[#This Row],[REQUISICIONES MAYO 2021]]+Tabla1[[#This Row],[ENTRADAS MAYO 2021]]</f>
        <v>1</v>
      </c>
      <c r="Y577" s="63">
        <f>+Tabla1[[#This Row],[STOCK MAYO 2021]]-Tabla1[[#This Row],[REQUISICIONES JUNIO 2021]]+Tabla1[[#This Row],[ENTRADAS JUNIO 2021]]</f>
        <v>1</v>
      </c>
      <c r="Z577" s="30" t="s">
        <v>12</v>
      </c>
      <c r="AA577" s="34">
        <v>0</v>
      </c>
      <c r="AB577" s="35">
        <f t="shared" si="20"/>
        <v>0</v>
      </c>
      <c r="AC577" s="93">
        <f>Tabla1[[#This Row],[STOCK JUNIO ]]*Tabla1[[#This Row],[COSTO UNITARIO SIN ITBIS]]</f>
        <v>0</v>
      </c>
    </row>
    <row r="578" spans="1:29" s="8" customFormat="1" x14ac:dyDescent="0.25">
      <c r="A578" s="265">
        <v>3</v>
      </c>
      <c r="B578" s="31"/>
      <c r="C578" s="28" t="s">
        <v>11</v>
      </c>
      <c r="D578" s="31"/>
      <c r="E578" s="137"/>
      <c r="F578" s="13">
        <v>1566</v>
      </c>
      <c r="G578" s="75" t="s">
        <v>417</v>
      </c>
      <c r="H578" s="72">
        <v>1</v>
      </c>
      <c r="I578" s="72"/>
      <c r="J578" s="72">
        <f>+'INVENTARIO ABRIL-JUNIO 2021'!$H578-'INVENTARIO ABRIL-JUNIO 2021'!$I578</f>
        <v>1</v>
      </c>
      <c r="K578" s="72"/>
      <c r="L578" s="72"/>
      <c r="M578" s="72"/>
      <c r="N578" s="72"/>
      <c r="O578" s="296"/>
      <c r="P578" s="72"/>
      <c r="Q578" s="72"/>
      <c r="R578" s="72"/>
      <c r="S578" s="72"/>
      <c r="T578" s="72"/>
      <c r="U578" s="72">
        <f>+Tabla1[[#This Row],[STOCK    FISICO ENERO 2021]]-Tabla1[[#This Row],[REQUISICIONES FEBRERO 2021]]</f>
        <v>1</v>
      </c>
      <c r="V578" s="72">
        <f>+Tabla1[[#This Row],[STOCK  FEBRERO 2021]]-Tabla1[[#This Row],[REQUISICIONES MARZO 2021]]+Tabla1[[#This Row],[ENTRADAS MARZO 2021]]</f>
        <v>1</v>
      </c>
      <c r="W578" s="72">
        <f>+Tabla1[[#This Row],[STOCK MARZO 2021]]-Tabla1[[#This Row],[REQUISICIONES ABRIL 2021]]+Tabla1[[#This Row],[ENTRADAS ABRIL 2021]]</f>
        <v>1</v>
      </c>
      <c r="X578" s="72">
        <f>+Tabla1[[#This Row],[STOCK ABRIL 2021]]-Tabla1[[#This Row],[REQUISICIONES MAYO 2021]]+Tabla1[[#This Row],[ENTRADAS MAYO 2021]]</f>
        <v>1</v>
      </c>
      <c r="Y578" s="72">
        <f>+Tabla1[[#This Row],[STOCK MAYO 2021]]-Tabla1[[#This Row],[REQUISICIONES JUNIO 2021]]+Tabla1[[#This Row],[ENTRADAS JUNIO 2021]]</f>
        <v>1</v>
      </c>
      <c r="Z578" s="73" t="s">
        <v>12</v>
      </c>
      <c r="AA578" s="76">
        <v>1016.95</v>
      </c>
      <c r="AB578" s="35">
        <f t="shared" si="20"/>
        <v>1200.001</v>
      </c>
      <c r="AC578" s="93">
        <f>Tabla1[[#This Row],[STOCK JUNIO ]]*Tabla1[[#This Row],[COSTO UNITARIO SIN ITBIS]]</f>
        <v>1016.95</v>
      </c>
    </row>
    <row r="579" spans="1:29" s="8" customFormat="1" ht="12.75" customHeight="1" x14ac:dyDescent="0.25">
      <c r="A579" s="265">
        <v>4</v>
      </c>
      <c r="B579" s="31">
        <v>40945</v>
      </c>
      <c r="C579" s="28" t="s">
        <v>11</v>
      </c>
      <c r="D579" s="31">
        <v>40945</v>
      </c>
      <c r="E579" s="137"/>
      <c r="F579" s="13">
        <v>1017</v>
      </c>
      <c r="G579" s="75" t="s">
        <v>418</v>
      </c>
      <c r="H579" s="72">
        <v>2</v>
      </c>
      <c r="I579" s="72"/>
      <c r="J579" s="72">
        <f>+'INVENTARIO ABRIL-JUNIO 2021'!$H579-'INVENTARIO ABRIL-JUNIO 2021'!$I579</f>
        <v>2</v>
      </c>
      <c r="K579" s="72"/>
      <c r="L579" s="72"/>
      <c r="M579" s="72"/>
      <c r="N579" s="72"/>
      <c r="O579" s="296"/>
      <c r="P579" s="72"/>
      <c r="Q579" s="72"/>
      <c r="R579" s="72"/>
      <c r="S579" s="72"/>
      <c r="T579" s="72"/>
      <c r="U579" s="72">
        <f>+Tabla1[[#This Row],[STOCK    FISICO ENERO 2021]]-Tabla1[[#This Row],[REQUISICIONES FEBRERO 2021]]</f>
        <v>2</v>
      </c>
      <c r="V579" s="72">
        <f>+Tabla1[[#This Row],[STOCK  FEBRERO 2021]]-Tabla1[[#This Row],[REQUISICIONES MARZO 2021]]+Tabla1[[#This Row],[ENTRADAS MARZO 2021]]</f>
        <v>2</v>
      </c>
      <c r="W579" s="72">
        <f>+Tabla1[[#This Row],[STOCK MARZO 2021]]-Tabla1[[#This Row],[REQUISICIONES ABRIL 2021]]+Tabla1[[#This Row],[ENTRADAS ABRIL 2021]]</f>
        <v>2</v>
      </c>
      <c r="X579" s="72">
        <f>+Tabla1[[#This Row],[STOCK ABRIL 2021]]-Tabla1[[#This Row],[REQUISICIONES MAYO 2021]]+Tabla1[[#This Row],[ENTRADAS MAYO 2021]]</f>
        <v>2</v>
      </c>
      <c r="Y579" s="72">
        <f>+Tabla1[[#This Row],[STOCK MAYO 2021]]-Tabla1[[#This Row],[REQUISICIONES JUNIO 2021]]+Tabla1[[#This Row],[ENTRADAS JUNIO 2021]]</f>
        <v>2</v>
      </c>
      <c r="Z579" s="73" t="s">
        <v>12</v>
      </c>
      <c r="AA579" s="76">
        <v>1274.4000000000001</v>
      </c>
      <c r="AB579" s="35">
        <f t="shared" si="20"/>
        <v>1503.7920000000001</v>
      </c>
      <c r="AC579" s="93">
        <f>Tabla1[[#This Row],[STOCK JUNIO ]]*Tabla1[[#This Row],[COSTO UNITARIO SIN ITBIS]]</f>
        <v>2548.8000000000002</v>
      </c>
    </row>
    <row r="580" spans="1:29" s="8" customFormat="1" x14ac:dyDescent="0.25">
      <c r="A580" s="265">
        <v>5</v>
      </c>
      <c r="B580" s="74">
        <v>43087</v>
      </c>
      <c r="C580" s="13" t="s">
        <v>11</v>
      </c>
      <c r="D580" s="74">
        <v>43087</v>
      </c>
      <c r="E580" s="145"/>
      <c r="F580" s="13">
        <v>1045</v>
      </c>
      <c r="G580" s="77" t="s">
        <v>419</v>
      </c>
      <c r="H580" s="72">
        <v>2</v>
      </c>
      <c r="I580" s="72"/>
      <c r="J580" s="72">
        <f>+'INVENTARIO ABRIL-JUNIO 2021'!$H580-'INVENTARIO ABRIL-JUNIO 2021'!$I580</f>
        <v>2</v>
      </c>
      <c r="K580" s="72"/>
      <c r="L580" s="72"/>
      <c r="M580" s="72"/>
      <c r="N580" s="72"/>
      <c r="O580" s="296"/>
      <c r="P580" s="72"/>
      <c r="Q580" s="72"/>
      <c r="R580" s="72"/>
      <c r="S580" s="72"/>
      <c r="T580" s="72"/>
      <c r="U580" s="72">
        <f>+Tabla1[[#This Row],[STOCK    FISICO ENERO 2021]]-Tabla1[[#This Row],[REQUISICIONES FEBRERO 2021]]</f>
        <v>2</v>
      </c>
      <c r="V580" s="72">
        <f>+Tabla1[[#This Row],[STOCK  FEBRERO 2021]]-Tabla1[[#This Row],[REQUISICIONES MARZO 2021]]+Tabla1[[#This Row],[ENTRADAS MARZO 2021]]</f>
        <v>2</v>
      </c>
      <c r="W580" s="72">
        <f>+Tabla1[[#This Row],[STOCK MARZO 2021]]-Tabla1[[#This Row],[REQUISICIONES ABRIL 2021]]+Tabla1[[#This Row],[ENTRADAS ABRIL 2021]]</f>
        <v>2</v>
      </c>
      <c r="X580" s="72">
        <f>+Tabla1[[#This Row],[STOCK ABRIL 2021]]-Tabla1[[#This Row],[REQUISICIONES MAYO 2021]]+Tabla1[[#This Row],[ENTRADAS MAYO 2021]]</f>
        <v>2</v>
      </c>
      <c r="Y580" s="72">
        <f>+Tabla1[[#This Row],[STOCK MAYO 2021]]-Tabla1[[#This Row],[REQUISICIONES JUNIO 2021]]+Tabla1[[#This Row],[ENTRADAS JUNIO 2021]]</f>
        <v>2</v>
      </c>
      <c r="Z580" s="78" t="s">
        <v>12</v>
      </c>
      <c r="AA580" s="76">
        <v>223.25</v>
      </c>
      <c r="AB580" s="35">
        <f t="shared" si="20"/>
        <v>263.435</v>
      </c>
      <c r="AC580" s="93">
        <f>Tabla1[[#This Row],[STOCK JUNIO ]]*Tabla1[[#This Row],[COSTO UNITARIO SIN ITBIS]]</f>
        <v>446.5</v>
      </c>
    </row>
    <row r="581" spans="1:29" s="8" customFormat="1" x14ac:dyDescent="0.25">
      <c r="A581" s="265">
        <v>6</v>
      </c>
      <c r="B581" s="74">
        <v>43089</v>
      </c>
      <c r="C581" s="13" t="s">
        <v>11</v>
      </c>
      <c r="D581" s="74">
        <v>43089</v>
      </c>
      <c r="E581" s="145"/>
      <c r="F581" s="28">
        <v>1638</v>
      </c>
      <c r="G581" s="32" t="s">
        <v>420</v>
      </c>
      <c r="H581" s="63">
        <v>7</v>
      </c>
      <c r="I581" s="63"/>
      <c r="J581" s="63">
        <f>+'INVENTARIO ABRIL-JUNIO 2021'!$H581-'INVENTARIO ABRIL-JUNIO 2021'!$I581</f>
        <v>7</v>
      </c>
      <c r="K581" s="63"/>
      <c r="L581" s="63"/>
      <c r="M581" s="63"/>
      <c r="N581" s="63"/>
      <c r="O581" s="125"/>
      <c r="P581" s="63"/>
      <c r="Q581" s="63"/>
      <c r="R581" s="63"/>
      <c r="S581" s="63"/>
      <c r="T581" s="63"/>
      <c r="U581" s="63">
        <f>+Tabla1[[#This Row],[STOCK    FISICO ENERO 2021]]-Tabla1[[#This Row],[REQUISICIONES FEBRERO 2021]]</f>
        <v>7</v>
      </c>
      <c r="V581" s="63">
        <f>+Tabla1[[#This Row],[STOCK  FEBRERO 2021]]-Tabla1[[#This Row],[REQUISICIONES MARZO 2021]]+Tabla1[[#This Row],[ENTRADAS MARZO 2021]]</f>
        <v>7</v>
      </c>
      <c r="W581" s="63">
        <f>+Tabla1[[#This Row],[STOCK MARZO 2021]]-Tabla1[[#This Row],[REQUISICIONES ABRIL 2021]]+Tabla1[[#This Row],[ENTRADAS ABRIL 2021]]</f>
        <v>7</v>
      </c>
      <c r="X581" s="63">
        <f>+Tabla1[[#This Row],[STOCK ABRIL 2021]]-Tabla1[[#This Row],[REQUISICIONES MAYO 2021]]+Tabla1[[#This Row],[ENTRADAS MAYO 2021]]</f>
        <v>7</v>
      </c>
      <c r="Y581" s="63">
        <f>+Tabla1[[#This Row],[STOCK MAYO 2021]]-Tabla1[[#This Row],[REQUISICIONES JUNIO 2021]]+Tabla1[[#This Row],[ENTRADAS JUNIO 2021]]</f>
        <v>7</v>
      </c>
      <c r="Z581" s="30" t="s">
        <v>105</v>
      </c>
      <c r="AA581" s="34">
        <v>174</v>
      </c>
      <c r="AB581" s="35">
        <f t="shared" si="20"/>
        <v>205.32</v>
      </c>
      <c r="AC581" s="93">
        <f>Tabla1[[#This Row],[STOCK JUNIO ]]*Tabla1[[#This Row],[COSTO UNITARIO SIN ITBIS]]</f>
        <v>1218</v>
      </c>
    </row>
    <row r="582" spans="1:29" s="8" customFormat="1" x14ac:dyDescent="0.25">
      <c r="A582" s="265">
        <v>7</v>
      </c>
      <c r="B582" s="31">
        <v>44168</v>
      </c>
      <c r="C582" s="28" t="s">
        <v>11</v>
      </c>
      <c r="D582" s="31">
        <v>44155</v>
      </c>
      <c r="E582" s="137"/>
      <c r="F582" s="13" t="s">
        <v>20</v>
      </c>
      <c r="G582" s="75" t="s">
        <v>421</v>
      </c>
      <c r="H582" s="72">
        <v>7</v>
      </c>
      <c r="I582" s="72"/>
      <c r="J582" s="72">
        <f>+'INVENTARIO ABRIL-JUNIO 2021'!$H582-'INVENTARIO ABRIL-JUNIO 2021'!$I582</f>
        <v>7</v>
      </c>
      <c r="K582" s="72"/>
      <c r="L582" s="72"/>
      <c r="M582" s="72"/>
      <c r="N582" s="72"/>
      <c r="O582" s="296"/>
      <c r="P582" s="72"/>
      <c r="Q582" s="72"/>
      <c r="R582" s="72"/>
      <c r="S582" s="72"/>
      <c r="T582" s="72"/>
      <c r="U582" s="72">
        <f>+Tabla1[[#This Row],[STOCK    FISICO ENERO 2021]]-Tabla1[[#This Row],[REQUISICIONES FEBRERO 2021]]</f>
        <v>7</v>
      </c>
      <c r="V582" s="72">
        <f>+Tabla1[[#This Row],[STOCK  FEBRERO 2021]]-Tabla1[[#This Row],[REQUISICIONES MARZO 2021]]+Tabla1[[#This Row],[ENTRADAS MARZO 2021]]</f>
        <v>7</v>
      </c>
      <c r="W582" s="72">
        <f>+Tabla1[[#This Row],[STOCK MARZO 2021]]-Tabla1[[#This Row],[REQUISICIONES ABRIL 2021]]+Tabla1[[#This Row],[ENTRADAS ABRIL 2021]]</f>
        <v>7</v>
      </c>
      <c r="X582" s="72">
        <f>+Tabla1[[#This Row],[STOCK ABRIL 2021]]-Tabla1[[#This Row],[REQUISICIONES MAYO 2021]]+Tabla1[[#This Row],[ENTRADAS MAYO 2021]]</f>
        <v>7</v>
      </c>
      <c r="Y582" s="72">
        <f>+Tabla1[[#This Row],[STOCK MAYO 2021]]-Tabla1[[#This Row],[REQUISICIONES JUNIO 2021]]+Tabla1[[#This Row],[ENTRADAS JUNIO 2021]]</f>
        <v>7</v>
      </c>
      <c r="Z582" s="30" t="s">
        <v>105</v>
      </c>
      <c r="AA582" s="76">
        <v>165.2</v>
      </c>
      <c r="AB582" s="35">
        <f t="shared" si="20"/>
        <v>194.93599999999998</v>
      </c>
      <c r="AC582" s="93">
        <f>Tabla1[[#This Row],[STOCK JUNIO ]]*Tabla1[[#This Row],[COSTO UNITARIO SIN ITBIS]]</f>
        <v>1156.3999999999999</v>
      </c>
    </row>
    <row r="583" spans="1:29" s="8" customFormat="1" x14ac:dyDescent="0.25">
      <c r="A583" s="265">
        <v>8</v>
      </c>
      <c r="B583" s="31">
        <v>44168</v>
      </c>
      <c r="C583" s="13" t="s">
        <v>11</v>
      </c>
      <c r="D583" s="31">
        <v>44155</v>
      </c>
      <c r="E583" s="137"/>
      <c r="F583" s="28">
        <v>1639</v>
      </c>
      <c r="G583" s="32" t="s">
        <v>422</v>
      </c>
      <c r="H583" s="63">
        <v>8</v>
      </c>
      <c r="I583" s="63"/>
      <c r="J583" s="63">
        <f>+'INVENTARIO ABRIL-JUNIO 2021'!$H583-'INVENTARIO ABRIL-JUNIO 2021'!$I583</f>
        <v>8</v>
      </c>
      <c r="K583" s="63"/>
      <c r="L583" s="63"/>
      <c r="M583" s="63"/>
      <c r="N583" s="63"/>
      <c r="O583" s="125"/>
      <c r="P583" s="63"/>
      <c r="Q583" s="63"/>
      <c r="R583" s="63"/>
      <c r="S583" s="63"/>
      <c r="T583" s="63"/>
      <c r="U583" s="63">
        <f>+Tabla1[[#This Row],[STOCK    FISICO ENERO 2021]]-Tabla1[[#This Row],[REQUISICIONES FEBRERO 2021]]</f>
        <v>8</v>
      </c>
      <c r="V583" s="63">
        <f>+Tabla1[[#This Row],[STOCK  FEBRERO 2021]]-Tabla1[[#This Row],[REQUISICIONES MARZO 2021]]+Tabla1[[#This Row],[ENTRADAS MARZO 2021]]</f>
        <v>8</v>
      </c>
      <c r="W583" s="63">
        <f>+Tabla1[[#This Row],[STOCK MARZO 2021]]-Tabla1[[#This Row],[REQUISICIONES ABRIL 2021]]+Tabla1[[#This Row],[ENTRADAS ABRIL 2021]]</f>
        <v>8</v>
      </c>
      <c r="X583" s="63">
        <f>+Tabla1[[#This Row],[STOCK ABRIL 2021]]-Tabla1[[#This Row],[REQUISICIONES MAYO 2021]]+Tabla1[[#This Row],[ENTRADAS MAYO 2021]]</f>
        <v>8</v>
      </c>
      <c r="Y583" s="63">
        <f>+Tabla1[[#This Row],[STOCK MAYO 2021]]-Tabla1[[#This Row],[REQUISICIONES JUNIO 2021]]+Tabla1[[#This Row],[ENTRADAS JUNIO 2021]]</f>
        <v>8</v>
      </c>
      <c r="Z583" s="30" t="s">
        <v>105</v>
      </c>
      <c r="AA583" s="34">
        <v>210</v>
      </c>
      <c r="AB583" s="35">
        <f t="shared" si="20"/>
        <v>247.8</v>
      </c>
      <c r="AC583" s="93">
        <f>Tabla1[[#This Row],[STOCK JUNIO ]]*Tabla1[[#This Row],[COSTO UNITARIO SIN ITBIS]]</f>
        <v>1680</v>
      </c>
    </row>
    <row r="584" spans="1:29" s="12" customFormat="1" ht="15" customHeight="1" x14ac:dyDescent="0.25">
      <c r="A584" s="265">
        <v>9</v>
      </c>
      <c r="B584" s="31">
        <v>44168</v>
      </c>
      <c r="C584" s="28" t="s">
        <v>11</v>
      </c>
      <c r="D584" s="31">
        <v>44155</v>
      </c>
      <c r="E584" s="137"/>
      <c r="F584" s="28"/>
      <c r="G584" s="32" t="s">
        <v>423</v>
      </c>
      <c r="H584" s="63">
        <v>10</v>
      </c>
      <c r="I584" s="63"/>
      <c r="J584" s="63">
        <f>+'INVENTARIO ABRIL-JUNIO 2021'!$H584-'INVENTARIO ABRIL-JUNIO 2021'!$I584</f>
        <v>10</v>
      </c>
      <c r="K584" s="63"/>
      <c r="L584" s="63"/>
      <c r="M584" s="63"/>
      <c r="N584" s="63"/>
      <c r="O584" s="125"/>
      <c r="P584" s="63"/>
      <c r="Q584" s="63"/>
      <c r="R584" s="63"/>
      <c r="S584" s="63"/>
      <c r="T584" s="63"/>
      <c r="U584" s="63">
        <f>+Tabla1[[#This Row],[STOCK    FISICO ENERO 2021]]-Tabla1[[#This Row],[REQUISICIONES FEBRERO 2021]]</f>
        <v>10</v>
      </c>
      <c r="V584" s="63">
        <f>+Tabla1[[#This Row],[STOCK  FEBRERO 2021]]-Tabla1[[#This Row],[REQUISICIONES MARZO 2021]]+Tabla1[[#This Row],[ENTRADAS MARZO 2021]]</f>
        <v>10</v>
      </c>
      <c r="W584" s="63">
        <f>+Tabla1[[#This Row],[STOCK MARZO 2021]]-Tabla1[[#This Row],[REQUISICIONES ABRIL 2021]]+Tabla1[[#This Row],[ENTRADAS ABRIL 2021]]</f>
        <v>10</v>
      </c>
      <c r="X584" s="63">
        <f>+Tabla1[[#This Row],[STOCK ABRIL 2021]]-Tabla1[[#This Row],[REQUISICIONES MAYO 2021]]+Tabla1[[#This Row],[ENTRADAS MAYO 2021]]</f>
        <v>10</v>
      </c>
      <c r="Y584" s="63">
        <f>+Tabla1[[#This Row],[STOCK MAYO 2021]]-Tabla1[[#This Row],[REQUISICIONES JUNIO 2021]]+Tabla1[[#This Row],[ENTRADAS JUNIO 2021]]</f>
        <v>10</v>
      </c>
      <c r="Z584" s="30" t="s">
        <v>105</v>
      </c>
      <c r="AA584" s="34">
        <v>260.5</v>
      </c>
      <c r="AB584" s="35">
        <f t="shared" si="20"/>
        <v>307.39</v>
      </c>
      <c r="AC584" s="93">
        <f>Tabla1[[#This Row],[STOCK JUNIO ]]*Tabla1[[#This Row],[COSTO UNITARIO SIN ITBIS]]</f>
        <v>2605</v>
      </c>
    </row>
    <row r="585" spans="1:29" s="8" customFormat="1" ht="15.75" customHeight="1" x14ac:dyDescent="0.25">
      <c r="A585" s="265">
        <v>10</v>
      </c>
      <c r="B585" s="31">
        <v>44168</v>
      </c>
      <c r="C585" s="28" t="s">
        <v>11</v>
      </c>
      <c r="D585" s="31">
        <v>44151</v>
      </c>
      <c r="E585" s="137"/>
      <c r="F585" s="13">
        <v>1640</v>
      </c>
      <c r="G585" s="75" t="s">
        <v>424</v>
      </c>
      <c r="H585" s="72">
        <v>9</v>
      </c>
      <c r="I585" s="72"/>
      <c r="J585" s="72">
        <f>+'INVENTARIO ABRIL-JUNIO 2021'!$H585-'INVENTARIO ABRIL-JUNIO 2021'!$I585</f>
        <v>9</v>
      </c>
      <c r="K585" s="72"/>
      <c r="L585" s="72"/>
      <c r="M585" s="72"/>
      <c r="N585" s="72"/>
      <c r="O585" s="296"/>
      <c r="P585" s="72"/>
      <c r="Q585" s="72"/>
      <c r="R585" s="72"/>
      <c r="S585" s="72"/>
      <c r="T585" s="72"/>
      <c r="U585" s="72">
        <f>+Tabla1[[#This Row],[STOCK    FISICO ENERO 2021]]-Tabla1[[#This Row],[REQUISICIONES FEBRERO 2021]]</f>
        <v>9</v>
      </c>
      <c r="V585" s="72">
        <f>+Tabla1[[#This Row],[STOCK  FEBRERO 2021]]-Tabla1[[#This Row],[REQUISICIONES MARZO 2021]]+Tabla1[[#This Row],[ENTRADAS MARZO 2021]]</f>
        <v>9</v>
      </c>
      <c r="W585" s="72">
        <f>+Tabla1[[#This Row],[STOCK MARZO 2021]]-Tabla1[[#This Row],[REQUISICIONES ABRIL 2021]]+Tabla1[[#This Row],[ENTRADAS ABRIL 2021]]</f>
        <v>9</v>
      </c>
      <c r="X585" s="72">
        <f>+Tabla1[[#This Row],[STOCK ABRIL 2021]]-Tabla1[[#This Row],[REQUISICIONES MAYO 2021]]+Tabla1[[#This Row],[ENTRADAS MAYO 2021]]</f>
        <v>9</v>
      </c>
      <c r="Y585" s="72">
        <f>+Tabla1[[#This Row],[STOCK MAYO 2021]]-Tabla1[[#This Row],[REQUISICIONES JUNIO 2021]]+Tabla1[[#This Row],[ENTRADAS JUNIO 2021]]</f>
        <v>9</v>
      </c>
      <c r="Z585" s="73" t="s">
        <v>105</v>
      </c>
      <c r="AA585" s="76">
        <v>222</v>
      </c>
      <c r="AB585" s="35">
        <f t="shared" si="20"/>
        <v>261.95999999999998</v>
      </c>
      <c r="AC585" s="93">
        <f>Tabla1[[#This Row],[STOCK JUNIO ]]*Tabla1[[#This Row],[COSTO UNITARIO SIN ITBIS]]</f>
        <v>1998</v>
      </c>
    </row>
    <row r="586" spans="1:29" s="8" customFormat="1" ht="15.75" customHeight="1" x14ac:dyDescent="0.25">
      <c r="A586" s="265">
        <v>11</v>
      </c>
      <c r="B586" s="31">
        <v>44168</v>
      </c>
      <c r="C586" s="13" t="s">
        <v>11</v>
      </c>
      <c r="D586" s="31">
        <v>44155</v>
      </c>
      <c r="E586" s="137"/>
      <c r="F586" s="13" t="s">
        <v>20</v>
      </c>
      <c r="G586" s="75" t="s">
        <v>425</v>
      </c>
      <c r="H586" s="72">
        <v>7</v>
      </c>
      <c r="I586" s="72"/>
      <c r="J586" s="72">
        <f>+'INVENTARIO ABRIL-JUNIO 2021'!$H586-'INVENTARIO ABRIL-JUNIO 2021'!$I586</f>
        <v>7</v>
      </c>
      <c r="K586" s="72"/>
      <c r="L586" s="72"/>
      <c r="M586" s="72"/>
      <c r="N586" s="72"/>
      <c r="O586" s="296"/>
      <c r="P586" s="72"/>
      <c r="Q586" s="72"/>
      <c r="R586" s="72"/>
      <c r="S586" s="72"/>
      <c r="T586" s="72"/>
      <c r="U586" s="72">
        <f>+Tabla1[[#This Row],[STOCK    FISICO ENERO 2021]]-Tabla1[[#This Row],[REQUISICIONES FEBRERO 2021]]</f>
        <v>7</v>
      </c>
      <c r="V586" s="72">
        <f>+Tabla1[[#This Row],[STOCK  FEBRERO 2021]]-Tabla1[[#This Row],[REQUISICIONES MARZO 2021]]+Tabla1[[#This Row],[ENTRADAS MARZO 2021]]</f>
        <v>7</v>
      </c>
      <c r="W586" s="72">
        <f>+Tabla1[[#This Row],[STOCK MARZO 2021]]-Tabla1[[#This Row],[REQUISICIONES ABRIL 2021]]+Tabla1[[#This Row],[ENTRADAS ABRIL 2021]]</f>
        <v>7</v>
      </c>
      <c r="X586" s="72">
        <f>+Tabla1[[#This Row],[STOCK ABRIL 2021]]-Tabla1[[#This Row],[REQUISICIONES MAYO 2021]]+Tabla1[[#This Row],[ENTRADAS MAYO 2021]]</f>
        <v>7</v>
      </c>
      <c r="Y586" s="72">
        <f>+Tabla1[[#This Row],[STOCK MAYO 2021]]-Tabla1[[#This Row],[REQUISICIONES JUNIO 2021]]+Tabla1[[#This Row],[ENTRADAS JUNIO 2021]]</f>
        <v>7</v>
      </c>
      <c r="Z586" s="73" t="s">
        <v>12</v>
      </c>
      <c r="AA586" s="76">
        <v>253.7</v>
      </c>
      <c r="AB586" s="35">
        <f t="shared" si="20"/>
        <v>299.36599999999999</v>
      </c>
      <c r="AC586" s="93">
        <f>Tabla1[[#This Row],[STOCK JUNIO ]]*Tabla1[[#This Row],[COSTO UNITARIO SIN ITBIS]]</f>
        <v>1775.8999999999999</v>
      </c>
    </row>
    <row r="587" spans="1:29" s="8" customFormat="1" x14ac:dyDescent="0.25">
      <c r="A587" s="265">
        <v>12</v>
      </c>
      <c r="B587" s="31">
        <v>44026</v>
      </c>
      <c r="C587" s="28" t="s">
        <v>11</v>
      </c>
      <c r="D587" s="31">
        <v>44026</v>
      </c>
      <c r="E587" s="137"/>
      <c r="F587" s="28">
        <v>1641</v>
      </c>
      <c r="G587" s="32" t="s">
        <v>426</v>
      </c>
      <c r="H587" s="63">
        <v>2</v>
      </c>
      <c r="I587" s="63"/>
      <c r="J587" s="63">
        <f>+'INVENTARIO ABRIL-JUNIO 2021'!$H587-'INVENTARIO ABRIL-JUNIO 2021'!$I587</f>
        <v>2</v>
      </c>
      <c r="K587" s="63"/>
      <c r="L587" s="63"/>
      <c r="M587" s="63"/>
      <c r="N587" s="63"/>
      <c r="O587" s="125"/>
      <c r="P587" s="63"/>
      <c r="Q587" s="63"/>
      <c r="R587" s="63"/>
      <c r="S587" s="63"/>
      <c r="T587" s="63"/>
      <c r="U587" s="63">
        <f>+Tabla1[[#This Row],[STOCK    FISICO ENERO 2021]]-Tabla1[[#This Row],[REQUISICIONES FEBRERO 2021]]</f>
        <v>2</v>
      </c>
      <c r="V587" s="63">
        <f>+Tabla1[[#This Row],[STOCK  FEBRERO 2021]]-Tabla1[[#This Row],[REQUISICIONES MARZO 2021]]+Tabla1[[#This Row],[ENTRADAS MARZO 2021]]</f>
        <v>2</v>
      </c>
      <c r="W587" s="63">
        <f>+Tabla1[[#This Row],[STOCK MARZO 2021]]-Tabla1[[#This Row],[REQUISICIONES ABRIL 2021]]+Tabla1[[#This Row],[ENTRADAS ABRIL 2021]]</f>
        <v>2</v>
      </c>
      <c r="X587" s="63">
        <f>+Tabla1[[#This Row],[STOCK ABRIL 2021]]-Tabla1[[#This Row],[REQUISICIONES MAYO 2021]]+Tabla1[[#This Row],[ENTRADAS MAYO 2021]]</f>
        <v>2</v>
      </c>
      <c r="Y587" s="63">
        <f>+Tabla1[[#This Row],[STOCK MAYO 2021]]-Tabla1[[#This Row],[REQUISICIONES JUNIO 2021]]+Tabla1[[#This Row],[ENTRADAS JUNIO 2021]]</f>
        <v>2</v>
      </c>
      <c r="Z587" s="30" t="s">
        <v>12</v>
      </c>
      <c r="AA587" s="34">
        <v>246</v>
      </c>
      <c r="AB587" s="35">
        <f t="shared" si="20"/>
        <v>290.27999999999997</v>
      </c>
      <c r="AC587" s="93">
        <f>Tabla1[[#This Row],[STOCK JUNIO ]]*Tabla1[[#This Row],[COSTO UNITARIO SIN ITBIS]]</f>
        <v>492</v>
      </c>
    </row>
    <row r="588" spans="1:29" s="8" customFormat="1" x14ac:dyDescent="0.25">
      <c r="A588" s="265">
        <v>13</v>
      </c>
      <c r="B588" s="31">
        <v>44109</v>
      </c>
      <c r="C588" s="28" t="s">
        <v>11</v>
      </c>
      <c r="D588" s="31">
        <v>44109</v>
      </c>
      <c r="E588" s="137"/>
      <c r="F588" s="13">
        <v>1581</v>
      </c>
      <c r="G588" s="75" t="s">
        <v>644</v>
      </c>
      <c r="H588" s="72">
        <v>3</v>
      </c>
      <c r="I588" s="72"/>
      <c r="J588" s="72">
        <f>+'INVENTARIO ABRIL-JUNIO 2021'!$H588-'INVENTARIO ABRIL-JUNIO 2021'!$I588</f>
        <v>3</v>
      </c>
      <c r="K588" s="72"/>
      <c r="L588" s="72"/>
      <c r="M588" s="72"/>
      <c r="N588" s="72"/>
      <c r="O588" s="296"/>
      <c r="P588" s="72"/>
      <c r="Q588" s="72"/>
      <c r="R588" s="72"/>
      <c r="S588" s="72"/>
      <c r="T588" s="72">
        <f>1+1+1</f>
        <v>3</v>
      </c>
      <c r="U588" s="72">
        <f>+Tabla1[[#This Row],[STOCK    FISICO ENERO 2021]]-Tabla1[[#This Row],[REQUISICIONES FEBRERO 2021]]</f>
        <v>3</v>
      </c>
      <c r="V588" s="72">
        <f>+Tabla1[[#This Row],[STOCK  FEBRERO 2021]]-Tabla1[[#This Row],[REQUISICIONES MARZO 2021]]+Tabla1[[#This Row],[ENTRADAS MARZO 2021]]</f>
        <v>3</v>
      </c>
      <c r="W588" s="72">
        <f>+Tabla1[[#This Row],[STOCK MARZO 2021]]-Tabla1[[#This Row],[REQUISICIONES ABRIL 2021]]+Tabla1[[#This Row],[ENTRADAS ABRIL 2021]]</f>
        <v>3</v>
      </c>
      <c r="X588" s="72">
        <f>+Tabla1[[#This Row],[STOCK ABRIL 2021]]-Tabla1[[#This Row],[REQUISICIONES MAYO 2021]]+Tabla1[[#This Row],[ENTRADAS MAYO 2021]]</f>
        <v>3</v>
      </c>
      <c r="Y588" s="72">
        <f>+Tabla1[[#This Row],[STOCK MAYO 2021]]-Tabla1[[#This Row],[REQUISICIONES JUNIO 2021]]+Tabla1[[#This Row],[ENTRADAS JUNIO 2021]]</f>
        <v>0</v>
      </c>
      <c r="Z588" s="30" t="s">
        <v>12</v>
      </c>
      <c r="AA588" s="76">
        <v>186</v>
      </c>
      <c r="AB588" s="35">
        <f t="shared" si="20"/>
        <v>219.48</v>
      </c>
      <c r="AC588" s="93">
        <f>Tabla1[[#This Row],[STOCK JUNIO ]]*Tabla1[[#This Row],[COSTO UNITARIO SIN ITBIS]]</f>
        <v>0</v>
      </c>
    </row>
    <row r="589" spans="1:29" s="8" customFormat="1" ht="16.5" customHeight="1" x14ac:dyDescent="0.25">
      <c r="A589" s="265">
        <v>14</v>
      </c>
      <c r="B589" s="74">
        <v>44026</v>
      </c>
      <c r="C589" s="13" t="s">
        <v>11</v>
      </c>
      <c r="D589" s="74">
        <v>44026</v>
      </c>
      <c r="E589" s="145"/>
      <c r="F589" s="28">
        <v>1457</v>
      </c>
      <c r="G589" s="32" t="s">
        <v>427</v>
      </c>
      <c r="H589" s="63">
        <v>1</v>
      </c>
      <c r="I589" s="63"/>
      <c r="J589" s="63">
        <f>+'INVENTARIO ABRIL-JUNIO 2021'!$H589-'INVENTARIO ABRIL-JUNIO 2021'!$I589</f>
        <v>1</v>
      </c>
      <c r="K589" s="63"/>
      <c r="L589" s="63"/>
      <c r="M589" s="63"/>
      <c r="N589" s="63"/>
      <c r="O589" s="125"/>
      <c r="P589" s="63"/>
      <c r="Q589" s="63"/>
      <c r="R589" s="63"/>
      <c r="S589" s="63"/>
      <c r="T589" s="63"/>
      <c r="U589" s="63">
        <f>+Tabla1[[#This Row],[STOCK    FISICO ENERO 2021]]-Tabla1[[#This Row],[REQUISICIONES FEBRERO 2021]]</f>
        <v>1</v>
      </c>
      <c r="V589" s="63">
        <f>+Tabla1[[#This Row],[STOCK  FEBRERO 2021]]-Tabla1[[#This Row],[REQUISICIONES MARZO 2021]]+Tabla1[[#This Row],[ENTRADAS MARZO 2021]]</f>
        <v>1</v>
      </c>
      <c r="W589" s="63">
        <f>+Tabla1[[#This Row],[STOCK MARZO 2021]]-Tabla1[[#This Row],[REQUISICIONES ABRIL 2021]]+Tabla1[[#This Row],[ENTRADAS ABRIL 2021]]</f>
        <v>1</v>
      </c>
      <c r="X589" s="63">
        <f>+Tabla1[[#This Row],[STOCK ABRIL 2021]]-Tabla1[[#This Row],[REQUISICIONES MAYO 2021]]+Tabla1[[#This Row],[ENTRADAS MAYO 2021]]</f>
        <v>1</v>
      </c>
      <c r="Y589" s="63">
        <f>+Tabla1[[#This Row],[STOCK MAYO 2021]]-Tabla1[[#This Row],[REQUISICIONES JUNIO 2021]]+Tabla1[[#This Row],[ENTRADAS JUNIO 2021]]</f>
        <v>1</v>
      </c>
      <c r="Z589" s="30" t="s">
        <v>12</v>
      </c>
      <c r="AA589" s="34">
        <v>324.8</v>
      </c>
      <c r="AB589" s="35">
        <f t="shared" si="20"/>
        <v>383.26400000000001</v>
      </c>
      <c r="AC589" s="93">
        <f>Tabla1[[#This Row],[STOCK JUNIO ]]*Tabla1[[#This Row],[COSTO UNITARIO SIN ITBIS]]</f>
        <v>324.8</v>
      </c>
    </row>
    <row r="590" spans="1:29" s="8" customFormat="1" x14ac:dyDescent="0.25">
      <c r="A590" s="265">
        <v>15</v>
      </c>
      <c r="B590" s="74"/>
      <c r="C590" s="13" t="s">
        <v>11</v>
      </c>
      <c r="D590" s="74"/>
      <c r="E590" s="145"/>
      <c r="F590" s="28"/>
      <c r="G590" s="32" t="s">
        <v>643</v>
      </c>
      <c r="H590" s="63">
        <v>2</v>
      </c>
      <c r="I590" s="63"/>
      <c r="J590" s="63">
        <f>+'INVENTARIO ABRIL-JUNIO 2021'!$H590-'INVENTARIO ABRIL-JUNIO 2021'!$I590</f>
        <v>2</v>
      </c>
      <c r="K590" s="63"/>
      <c r="L590" s="63"/>
      <c r="M590" s="63"/>
      <c r="N590" s="63"/>
      <c r="O590" s="125"/>
      <c r="P590" s="63"/>
      <c r="Q590" s="63"/>
      <c r="R590" s="63"/>
      <c r="S590" s="63"/>
      <c r="T590" s="63"/>
      <c r="U590" s="63">
        <f>+Tabla1[[#This Row],[STOCK    FISICO ENERO 2021]]-Tabla1[[#This Row],[REQUISICIONES FEBRERO 2021]]</f>
        <v>2</v>
      </c>
      <c r="V590" s="63">
        <f>+Tabla1[[#This Row],[STOCK  FEBRERO 2021]]-Tabla1[[#This Row],[REQUISICIONES MARZO 2021]]+Tabla1[[#This Row],[ENTRADAS MARZO 2021]]</f>
        <v>2</v>
      </c>
      <c r="W590" s="63">
        <f>+Tabla1[[#This Row],[STOCK MARZO 2021]]-Tabla1[[#This Row],[REQUISICIONES ABRIL 2021]]+Tabla1[[#This Row],[ENTRADAS ABRIL 2021]]</f>
        <v>2</v>
      </c>
      <c r="X590" s="63">
        <f>+Tabla1[[#This Row],[STOCK ABRIL 2021]]-Tabla1[[#This Row],[REQUISICIONES MAYO 2021]]+Tabla1[[#This Row],[ENTRADAS MAYO 2021]]</f>
        <v>2</v>
      </c>
      <c r="Y590" s="63">
        <f>+Tabla1[[#This Row],[STOCK MAYO 2021]]-Tabla1[[#This Row],[REQUISICIONES JUNIO 2021]]+Tabla1[[#This Row],[ENTRADAS JUNIO 2021]]</f>
        <v>2</v>
      </c>
      <c r="Z590" s="30" t="s">
        <v>12</v>
      </c>
      <c r="AA590" s="34">
        <v>0</v>
      </c>
      <c r="AB590" s="35">
        <f t="shared" si="20"/>
        <v>0</v>
      </c>
      <c r="AC590" s="93">
        <f>Tabla1[[#This Row],[STOCK JUNIO ]]*Tabla1[[#This Row],[COSTO UNITARIO SIN ITBIS]]</f>
        <v>0</v>
      </c>
    </row>
    <row r="591" spans="1:29" s="8" customFormat="1" x14ac:dyDescent="0.25">
      <c r="A591" s="265">
        <v>16</v>
      </c>
      <c r="B591" s="74">
        <v>42989</v>
      </c>
      <c r="C591" s="13" t="s">
        <v>11</v>
      </c>
      <c r="D591" s="74">
        <v>42989</v>
      </c>
      <c r="E591" s="145"/>
      <c r="F591" s="28" t="s">
        <v>20</v>
      </c>
      <c r="G591" s="32" t="s">
        <v>428</v>
      </c>
      <c r="H591" s="63">
        <v>2</v>
      </c>
      <c r="I591" s="63"/>
      <c r="J591" s="63">
        <f>+'INVENTARIO ABRIL-JUNIO 2021'!$H591-'INVENTARIO ABRIL-JUNIO 2021'!$I591</f>
        <v>2</v>
      </c>
      <c r="K591" s="63"/>
      <c r="L591" s="63"/>
      <c r="M591" s="63"/>
      <c r="N591" s="63"/>
      <c r="O591" s="125"/>
      <c r="P591" s="63"/>
      <c r="Q591" s="63"/>
      <c r="R591" s="63"/>
      <c r="S591" s="63"/>
      <c r="T591" s="63"/>
      <c r="U591" s="63">
        <f>+Tabla1[[#This Row],[STOCK    FISICO ENERO 2021]]-Tabla1[[#This Row],[REQUISICIONES FEBRERO 2021]]</f>
        <v>2</v>
      </c>
      <c r="V591" s="63">
        <f>+Tabla1[[#This Row],[STOCK  FEBRERO 2021]]-Tabla1[[#This Row],[REQUISICIONES MARZO 2021]]+Tabla1[[#This Row],[ENTRADAS MARZO 2021]]</f>
        <v>2</v>
      </c>
      <c r="W591" s="63">
        <f>+Tabla1[[#This Row],[STOCK MARZO 2021]]-Tabla1[[#This Row],[REQUISICIONES ABRIL 2021]]+Tabla1[[#This Row],[ENTRADAS ABRIL 2021]]</f>
        <v>2</v>
      </c>
      <c r="X591" s="63">
        <f>+Tabla1[[#This Row],[STOCK ABRIL 2021]]-Tabla1[[#This Row],[REQUISICIONES MAYO 2021]]+Tabla1[[#This Row],[ENTRADAS MAYO 2021]]</f>
        <v>2</v>
      </c>
      <c r="Y591" s="63">
        <f>+Tabla1[[#This Row],[STOCK MAYO 2021]]-Tabla1[[#This Row],[REQUISICIONES JUNIO 2021]]+Tabla1[[#This Row],[ENTRADAS JUNIO 2021]]</f>
        <v>2</v>
      </c>
      <c r="Z591" s="30" t="s">
        <v>12</v>
      </c>
      <c r="AA591" s="34">
        <v>0</v>
      </c>
      <c r="AB591" s="35">
        <f t="shared" ref="AB591:AB603" si="21">AA591*0.18+AA591</f>
        <v>0</v>
      </c>
      <c r="AC591" s="93">
        <f>Tabla1[[#This Row],[STOCK JUNIO ]]*Tabla1[[#This Row],[COSTO UNITARIO SIN ITBIS]]</f>
        <v>0</v>
      </c>
    </row>
    <row r="592" spans="1:29" s="8" customFormat="1" x14ac:dyDescent="0.25">
      <c r="A592" s="265">
        <v>17</v>
      </c>
      <c r="B592" s="74">
        <v>44028</v>
      </c>
      <c r="C592" s="13" t="s">
        <v>11</v>
      </c>
      <c r="D592" s="74">
        <v>44028</v>
      </c>
      <c r="E592" s="145"/>
      <c r="F592" s="28"/>
      <c r="G592" s="32" t="s">
        <v>429</v>
      </c>
      <c r="H592" s="63">
        <v>10</v>
      </c>
      <c r="I592" s="63"/>
      <c r="J592" s="63">
        <f>+'INVENTARIO ABRIL-JUNIO 2021'!$H592-'INVENTARIO ABRIL-JUNIO 2021'!$I592</f>
        <v>10</v>
      </c>
      <c r="K592" s="63"/>
      <c r="L592" s="63"/>
      <c r="M592" s="63"/>
      <c r="N592" s="63"/>
      <c r="O592" s="125"/>
      <c r="P592" s="63"/>
      <c r="Q592" s="63"/>
      <c r="R592" s="63">
        <f>1+1</f>
        <v>2</v>
      </c>
      <c r="S592" s="63">
        <v>1</v>
      </c>
      <c r="T592" s="63">
        <v>1</v>
      </c>
      <c r="U592" s="63">
        <f>+Tabla1[[#This Row],[STOCK    FISICO ENERO 2021]]-Tabla1[[#This Row],[REQUISICIONES FEBRERO 2021]]</f>
        <v>10</v>
      </c>
      <c r="V592" s="63">
        <f>+Tabla1[[#This Row],[STOCK  FEBRERO 2021]]-Tabla1[[#This Row],[REQUISICIONES MARZO 2021]]+Tabla1[[#This Row],[ENTRADAS MARZO 2021]]</f>
        <v>10</v>
      </c>
      <c r="W592" s="63">
        <f>+Tabla1[[#This Row],[STOCK MARZO 2021]]-Tabla1[[#This Row],[REQUISICIONES ABRIL 2021]]+Tabla1[[#This Row],[ENTRADAS ABRIL 2021]]</f>
        <v>8</v>
      </c>
      <c r="X592" s="63">
        <f>+Tabla1[[#This Row],[STOCK ABRIL 2021]]-Tabla1[[#This Row],[REQUISICIONES MAYO 2021]]+Tabla1[[#This Row],[ENTRADAS MAYO 2021]]</f>
        <v>7</v>
      </c>
      <c r="Y592" s="63">
        <f>+Tabla1[[#This Row],[STOCK MAYO 2021]]-Tabla1[[#This Row],[REQUISICIONES JUNIO 2021]]+Tabla1[[#This Row],[ENTRADAS JUNIO 2021]]</f>
        <v>6</v>
      </c>
      <c r="Z592" s="30" t="s">
        <v>12</v>
      </c>
      <c r="AA592" s="34">
        <v>531</v>
      </c>
      <c r="AB592" s="35">
        <f t="shared" si="21"/>
        <v>626.58000000000004</v>
      </c>
      <c r="AC592" s="93">
        <f>Tabla1[[#This Row],[STOCK JUNIO ]]*Tabla1[[#This Row],[COSTO UNITARIO SIN ITBIS]]</f>
        <v>3186</v>
      </c>
    </row>
    <row r="593" spans="1:29" s="8" customFormat="1" x14ac:dyDescent="0.25">
      <c r="A593" s="265">
        <v>18</v>
      </c>
      <c r="B593" s="31">
        <v>42689</v>
      </c>
      <c r="C593" s="28" t="s">
        <v>11</v>
      </c>
      <c r="D593" s="31">
        <v>42689</v>
      </c>
      <c r="E593" s="137"/>
      <c r="F593" s="28">
        <v>1159</v>
      </c>
      <c r="G593" s="32" t="s">
        <v>430</v>
      </c>
      <c r="H593" s="63">
        <v>10</v>
      </c>
      <c r="I593" s="63"/>
      <c r="J593" s="63">
        <f>+'INVENTARIO ABRIL-JUNIO 2021'!$H593-'INVENTARIO ABRIL-JUNIO 2021'!$I593</f>
        <v>10</v>
      </c>
      <c r="K593" s="63"/>
      <c r="L593" s="63"/>
      <c r="M593" s="63"/>
      <c r="N593" s="63"/>
      <c r="O593" s="125"/>
      <c r="P593" s="63"/>
      <c r="Q593" s="63"/>
      <c r="R593" s="63"/>
      <c r="S593" s="63"/>
      <c r="T593" s="63"/>
      <c r="U593" s="63">
        <f>+Tabla1[[#This Row],[STOCK    FISICO ENERO 2021]]-Tabla1[[#This Row],[REQUISICIONES FEBRERO 2021]]</f>
        <v>10</v>
      </c>
      <c r="V593" s="63">
        <f>+Tabla1[[#This Row],[STOCK  FEBRERO 2021]]-Tabla1[[#This Row],[REQUISICIONES MARZO 2021]]+Tabla1[[#This Row],[ENTRADAS MARZO 2021]]</f>
        <v>10</v>
      </c>
      <c r="W593" s="63">
        <f>+Tabla1[[#This Row],[STOCK MARZO 2021]]-Tabla1[[#This Row],[REQUISICIONES ABRIL 2021]]+Tabla1[[#This Row],[ENTRADAS ABRIL 2021]]</f>
        <v>10</v>
      </c>
      <c r="X593" s="63">
        <f>+Tabla1[[#This Row],[STOCK ABRIL 2021]]-Tabla1[[#This Row],[REQUISICIONES MAYO 2021]]+Tabla1[[#This Row],[ENTRADAS MAYO 2021]]</f>
        <v>10</v>
      </c>
      <c r="Y593" s="63">
        <f>+Tabla1[[#This Row],[STOCK MAYO 2021]]-Tabla1[[#This Row],[REQUISICIONES JUNIO 2021]]+Tabla1[[#This Row],[ENTRADAS JUNIO 2021]]</f>
        <v>10</v>
      </c>
      <c r="Z593" s="30" t="s">
        <v>12</v>
      </c>
      <c r="AA593" s="34">
        <v>350</v>
      </c>
      <c r="AB593" s="35">
        <f t="shared" si="21"/>
        <v>413</v>
      </c>
      <c r="AC593" s="93">
        <f>Tabla1[[#This Row],[STOCK JUNIO ]]*Tabla1[[#This Row],[COSTO UNITARIO SIN ITBIS]]</f>
        <v>3500</v>
      </c>
    </row>
    <row r="594" spans="1:29" s="8" customFormat="1" x14ac:dyDescent="0.25">
      <c r="A594" s="265">
        <v>19</v>
      </c>
      <c r="B594" s="74">
        <v>42689</v>
      </c>
      <c r="C594" s="13" t="s">
        <v>11</v>
      </c>
      <c r="D594" s="74">
        <v>42689</v>
      </c>
      <c r="E594" s="145"/>
      <c r="F594" s="13">
        <v>1158</v>
      </c>
      <c r="G594" s="75" t="s">
        <v>431</v>
      </c>
      <c r="H594" s="72">
        <v>56</v>
      </c>
      <c r="I594" s="72"/>
      <c r="J594" s="72">
        <f>+'INVENTARIO ABRIL-JUNIO 2021'!$H594-'INVENTARIO ABRIL-JUNIO 2021'!$I594</f>
        <v>56</v>
      </c>
      <c r="K594" s="72"/>
      <c r="L594" s="72"/>
      <c r="M594" s="72"/>
      <c r="N594" s="72"/>
      <c r="O594" s="296"/>
      <c r="P594" s="72"/>
      <c r="Q594" s="72"/>
      <c r="R594" s="72"/>
      <c r="S594" s="72"/>
      <c r="T594" s="72"/>
      <c r="U594" s="72">
        <f>+Tabla1[[#This Row],[STOCK    FISICO ENERO 2021]]-Tabla1[[#This Row],[REQUISICIONES FEBRERO 2021]]</f>
        <v>56</v>
      </c>
      <c r="V594" s="72">
        <f>+Tabla1[[#This Row],[STOCK  FEBRERO 2021]]-Tabla1[[#This Row],[REQUISICIONES MARZO 2021]]+Tabla1[[#This Row],[ENTRADAS MARZO 2021]]</f>
        <v>56</v>
      </c>
      <c r="W594" s="72">
        <f>+Tabla1[[#This Row],[STOCK MARZO 2021]]-Tabla1[[#This Row],[REQUISICIONES ABRIL 2021]]+Tabla1[[#This Row],[ENTRADAS ABRIL 2021]]</f>
        <v>56</v>
      </c>
      <c r="X594" s="72">
        <f>+Tabla1[[#This Row],[STOCK ABRIL 2021]]-Tabla1[[#This Row],[REQUISICIONES MAYO 2021]]+Tabla1[[#This Row],[ENTRADAS MAYO 2021]]</f>
        <v>56</v>
      </c>
      <c r="Y594" s="72">
        <f>+Tabla1[[#This Row],[STOCK MAYO 2021]]-Tabla1[[#This Row],[REQUISICIONES JUNIO 2021]]+Tabla1[[#This Row],[ENTRADAS JUNIO 2021]]</f>
        <v>56</v>
      </c>
      <c r="Z594" s="73" t="s">
        <v>12</v>
      </c>
      <c r="AA594" s="76">
        <v>250</v>
      </c>
      <c r="AB594" s="35">
        <f t="shared" si="21"/>
        <v>295</v>
      </c>
      <c r="AC594" s="93">
        <f>Tabla1[[#This Row],[STOCK JUNIO ]]*Tabla1[[#This Row],[COSTO UNITARIO SIN ITBIS]]</f>
        <v>14000</v>
      </c>
    </row>
    <row r="595" spans="1:29" s="8" customFormat="1" x14ac:dyDescent="0.25">
      <c r="A595" s="265">
        <v>20</v>
      </c>
      <c r="B595" s="74">
        <v>43453</v>
      </c>
      <c r="C595" s="13" t="s">
        <v>11</v>
      </c>
      <c r="D595" s="74">
        <v>43453</v>
      </c>
      <c r="E595" s="145"/>
      <c r="F595" s="28">
        <v>1570</v>
      </c>
      <c r="G595" s="32" t="s">
        <v>432</v>
      </c>
      <c r="H595" s="63">
        <v>4</v>
      </c>
      <c r="I595" s="63"/>
      <c r="J595" s="63">
        <f>+'INVENTARIO ABRIL-JUNIO 2021'!$H595-'INVENTARIO ABRIL-JUNIO 2021'!$I595</f>
        <v>4</v>
      </c>
      <c r="K595" s="63"/>
      <c r="L595" s="63"/>
      <c r="M595" s="63"/>
      <c r="N595" s="63"/>
      <c r="O595" s="125"/>
      <c r="P595" s="63"/>
      <c r="Q595" s="63"/>
      <c r="R595" s="63">
        <v>1</v>
      </c>
      <c r="S595" s="63"/>
      <c r="T595" s="63"/>
      <c r="U595" s="63">
        <f>+Tabla1[[#This Row],[STOCK    FISICO ENERO 2021]]-Tabla1[[#This Row],[REQUISICIONES FEBRERO 2021]]</f>
        <v>4</v>
      </c>
      <c r="V595" s="63">
        <f>+Tabla1[[#This Row],[STOCK  FEBRERO 2021]]-Tabla1[[#This Row],[REQUISICIONES MARZO 2021]]+Tabla1[[#This Row],[ENTRADAS MARZO 2021]]</f>
        <v>4</v>
      </c>
      <c r="W595" s="63">
        <f>+Tabla1[[#This Row],[STOCK MARZO 2021]]-Tabla1[[#This Row],[REQUISICIONES ABRIL 2021]]+Tabla1[[#This Row],[ENTRADAS ABRIL 2021]]</f>
        <v>3</v>
      </c>
      <c r="X595" s="63">
        <f>+Tabla1[[#This Row],[STOCK ABRIL 2021]]-Tabla1[[#This Row],[REQUISICIONES MAYO 2021]]+Tabla1[[#This Row],[ENTRADAS MAYO 2021]]</f>
        <v>3</v>
      </c>
      <c r="Y595" s="63">
        <f>+Tabla1[[#This Row],[STOCK MAYO 2021]]-Tabla1[[#This Row],[REQUISICIONES JUNIO 2021]]+Tabla1[[#This Row],[ENTRADAS JUNIO 2021]]</f>
        <v>3</v>
      </c>
      <c r="Z595" s="30" t="s">
        <v>433</v>
      </c>
      <c r="AA595" s="34">
        <v>1449.15</v>
      </c>
      <c r="AB595" s="35">
        <f t="shared" si="21"/>
        <v>1709.9970000000001</v>
      </c>
      <c r="AC595" s="93">
        <f>Tabla1[[#This Row],[STOCK JUNIO ]]*Tabla1[[#This Row],[COSTO UNITARIO SIN ITBIS]]</f>
        <v>4347.4500000000007</v>
      </c>
    </row>
    <row r="596" spans="1:29" s="8" customFormat="1" x14ac:dyDescent="0.25">
      <c r="A596" s="265">
        <v>21</v>
      </c>
      <c r="B596" s="31">
        <v>44168</v>
      </c>
      <c r="C596" s="28" t="s">
        <v>11</v>
      </c>
      <c r="D596" s="31">
        <v>44154</v>
      </c>
      <c r="E596" s="137"/>
      <c r="F596" s="13">
        <v>1569</v>
      </c>
      <c r="G596" s="75" t="s">
        <v>434</v>
      </c>
      <c r="H596" s="72">
        <v>2</v>
      </c>
      <c r="I596" s="72"/>
      <c r="J596" s="72">
        <f>+'INVENTARIO ABRIL-JUNIO 2021'!$H596-'INVENTARIO ABRIL-JUNIO 2021'!$I596</f>
        <v>2</v>
      </c>
      <c r="K596" s="72"/>
      <c r="L596" s="72"/>
      <c r="M596" s="72"/>
      <c r="N596" s="72"/>
      <c r="O596" s="296"/>
      <c r="P596" s="72"/>
      <c r="Q596" s="72"/>
      <c r="R596" s="72"/>
      <c r="S596" s="72"/>
      <c r="T596" s="72"/>
      <c r="U596" s="72">
        <f>+Tabla1[[#This Row],[STOCK    FISICO ENERO 2021]]-Tabla1[[#This Row],[REQUISICIONES FEBRERO 2021]]</f>
        <v>2</v>
      </c>
      <c r="V596" s="72">
        <f>+Tabla1[[#This Row],[STOCK  FEBRERO 2021]]-Tabla1[[#This Row],[REQUISICIONES MARZO 2021]]+Tabla1[[#This Row],[ENTRADAS MARZO 2021]]</f>
        <v>2</v>
      </c>
      <c r="W596" s="72">
        <f>+Tabla1[[#This Row],[STOCK MARZO 2021]]-Tabla1[[#This Row],[REQUISICIONES ABRIL 2021]]+Tabla1[[#This Row],[ENTRADAS ABRIL 2021]]</f>
        <v>2</v>
      </c>
      <c r="X596" s="72">
        <f>+Tabla1[[#This Row],[STOCK ABRIL 2021]]-Tabla1[[#This Row],[REQUISICIONES MAYO 2021]]+Tabla1[[#This Row],[ENTRADAS MAYO 2021]]</f>
        <v>2</v>
      </c>
      <c r="Y596" s="72">
        <f>+Tabla1[[#This Row],[STOCK MAYO 2021]]-Tabla1[[#This Row],[REQUISICIONES JUNIO 2021]]+Tabla1[[#This Row],[ENTRADAS JUNIO 2021]]</f>
        <v>2</v>
      </c>
      <c r="Z596" s="73" t="s">
        <v>433</v>
      </c>
      <c r="AA596" s="76">
        <v>1169.48</v>
      </c>
      <c r="AB596" s="35">
        <f t="shared" si="21"/>
        <v>1379.9864</v>
      </c>
      <c r="AC596" s="93">
        <f>Tabla1[[#This Row],[STOCK JUNIO ]]*Tabla1[[#This Row],[COSTO UNITARIO SIN ITBIS]]</f>
        <v>2338.96</v>
      </c>
    </row>
    <row r="597" spans="1:29" s="14" customFormat="1" x14ac:dyDescent="0.25">
      <c r="A597" s="265">
        <v>22</v>
      </c>
      <c r="B597" s="31">
        <v>44168</v>
      </c>
      <c r="C597" s="13" t="s">
        <v>11</v>
      </c>
      <c r="D597" s="74">
        <v>44154</v>
      </c>
      <c r="E597" s="145"/>
      <c r="F597" s="28">
        <v>1571</v>
      </c>
      <c r="G597" s="32" t="s">
        <v>435</v>
      </c>
      <c r="H597" s="63">
        <v>2</v>
      </c>
      <c r="I597" s="63"/>
      <c r="J597" s="63">
        <f>+'INVENTARIO ABRIL-JUNIO 2021'!$H597-'INVENTARIO ABRIL-JUNIO 2021'!$I597</f>
        <v>2</v>
      </c>
      <c r="K597" s="63"/>
      <c r="L597" s="63"/>
      <c r="M597" s="63"/>
      <c r="N597" s="63"/>
      <c r="O597" s="125"/>
      <c r="P597" s="63"/>
      <c r="Q597" s="63"/>
      <c r="R597" s="63"/>
      <c r="S597" s="63"/>
      <c r="T597" s="63"/>
      <c r="U597" s="63">
        <f>+Tabla1[[#This Row],[STOCK    FISICO ENERO 2021]]-Tabla1[[#This Row],[REQUISICIONES FEBRERO 2021]]</f>
        <v>2</v>
      </c>
      <c r="V597" s="63">
        <f>+Tabla1[[#This Row],[STOCK  FEBRERO 2021]]-Tabla1[[#This Row],[REQUISICIONES MARZO 2021]]+Tabla1[[#This Row],[ENTRADAS MARZO 2021]]</f>
        <v>2</v>
      </c>
      <c r="W597" s="63">
        <f>+Tabla1[[#This Row],[STOCK MARZO 2021]]-Tabla1[[#This Row],[REQUISICIONES ABRIL 2021]]+Tabla1[[#This Row],[ENTRADAS ABRIL 2021]]</f>
        <v>2</v>
      </c>
      <c r="X597" s="63">
        <f>+Tabla1[[#This Row],[STOCK ABRIL 2021]]-Tabla1[[#This Row],[REQUISICIONES MAYO 2021]]+Tabla1[[#This Row],[ENTRADAS MAYO 2021]]</f>
        <v>2</v>
      </c>
      <c r="Y597" s="63">
        <f>+Tabla1[[#This Row],[STOCK MAYO 2021]]-Tabla1[[#This Row],[REQUISICIONES JUNIO 2021]]+Tabla1[[#This Row],[ENTRADAS JUNIO 2021]]</f>
        <v>2</v>
      </c>
      <c r="Z597" s="30" t="s">
        <v>433</v>
      </c>
      <c r="AA597" s="34">
        <v>2415.25</v>
      </c>
      <c r="AB597" s="35">
        <f t="shared" si="21"/>
        <v>2849.9949999999999</v>
      </c>
      <c r="AC597" s="93">
        <f>Tabla1[[#This Row],[STOCK JUNIO ]]*Tabla1[[#This Row],[COSTO UNITARIO SIN ITBIS]]</f>
        <v>4830.5</v>
      </c>
    </row>
    <row r="598" spans="1:29" s="8" customFormat="1" x14ac:dyDescent="0.25">
      <c r="A598" s="265">
        <v>23</v>
      </c>
      <c r="B598" s="31">
        <v>44168</v>
      </c>
      <c r="C598" s="28" t="s">
        <v>11</v>
      </c>
      <c r="D598" s="31">
        <v>44154</v>
      </c>
      <c r="E598" s="137"/>
      <c r="F598" s="13">
        <v>1572</v>
      </c>
      <c r="G598" s="75" t="s">
        <v>436</v>
      </c>
      <c r="H598" s="72">
        <v>1</v>
      </c>
      <c r="I598" s="72"/>
      <c r="J598" s="72">
        <f>+'INVENTARIO ABRIL-JUNIO 2021'!$H598-'INVENTARIO ABRIL-JUNIO 2021'!$I598</f>
        <v>1</v>
      </c>
      <c r="K598" s="72"/>
      <c r="L598" s="72"/>
      <c r="M598" s="72"/>
      <c r="N598" s="72"/>
      <c r="O598" s="296"/>
      <c r="P598" s="72"/>
      <c r="Q598" s="72"/>
      <c r="R598" s="72"/>
      <c r="S598" s="72"/>
      <c r="T598" s="72"/>
      <c r="U598" s="72">
        <f>+Tabla1[[#This Row],[STOCK    FISICO ENERO 2021]]-Tabla1[[#This Row],[REQUISICIONES FEBRERO 2021]]</f>
        <v>1</v>
      </c>
      <c r="V598" s="72">
        <f>+Tabla1[[#This Row],[STOCK  FEBRERO 2021]]-Tabla1[[#This Row],[REQUISICIONES MARZO 2021]]+Tabla1[[#This Row],[ENTRADAS MARZO 2021]]</f>
        <v>1</v>
      </c>
      <c r="W598" s="72">
        <f>+Tabla1[[#This Row],[STOCK MARZO 2021]]-Tabla1[[#This Row],[REQUISICIONES ABRIL 2021]]+Tabla1[[#This Row],[ENTRADAS ABRIL 2021]]</f>
        <v>1</v>
      </c>
      <c r="X598" s="72">
        <f>+Tabla1[[#This Row],[STOCK ABRIL 2021]]-Tabla1[[#This Row],[REQUISICIONES MAYO 2021]]+Tabla1[[#This Row],[ENTRADAS MAYO 2021]]</f>
        <v>1</v>
      </c>
      <c r="Y598" s="72">
        <f>+Tabla1[[#This Row],[STOCK MAYO 2021]]-Tabla1[[#This Row],[REQUISICIONES JUNIO 2021]]+Tabla1[[#This Row],[ENTRADAS JUNIO 2021]]</f>
        <v>1</v>
      </c>
      <c r="Z598" s="73" t="s">
        <v>433</v>
      </c>
      <c r="AA598" s="76">
        <v>1067.8</v>
      </c>
      <c r="AB598" s="35">
        <f t="shared" si="21"/>
        <v>1260.0039999999999</v>
      </c>
      <c r="AC598" s="93">
        <f>Tabla1[[#This Row],[STOCK JUNIO ]]*Tabla1[[#This Row],[COSTO UNITARIO SIN ITBIS]]</f>
        <v>1067.8</v>
      </c>
    </row>
    <row r="599" spans="1:29" s="8" customFormat="1" x14ac:dyDescent="0.25">
      <c r="A599" s="265">
        <v>24</v>
      </c>
      <c r="B599" s="74">
        <v>44168</v>
      </c>
      <c r="C599" s="13" t="s">
        <v>11</v>
      </c>
      <c r="D599" s="74">
        <v>44153</v>
      </c>
      <c r="E599" s="145"/>
      <c r="F599" s="28">
        <v>1573</v>
      </c>
      <c r="G599" s="32" t="s">
        <v>437</v>
      </c>
      <c r="H599" s="63">
        <v>2</v>
      </c>
      <c r="I599" s="63"/>
      <c r="J599" s="63">
        <f>+'INVENTARIO ABRIL-JUNIO 2021'!$H599-'INVENTARIO ABRIL-JUNIO 2021'!$I599</f>
        <v>2</v>
      </c>
      <c r="K599" s="63"/>
      <c r="L599" s="63"/>
      <c r="M599" s="63"/>
      <c r="N599" s="63"/>
      <c r="O599" s="125"/>
      <c r="P599" s="63"/>
      <c r="Q599" s="63"/>
      <c r="R599" s="63"/>
      <c r="S599" s="63"/>
      <c r="T599" s="63"/>
      <c r="U599" s="63">
        <f>+Tabla1[[#This Row],[STOCK    FISICO ENERO 2021]]-Tabla1[[#This Row],[REQUISICIONES FEBRERO 2021]]</f>
        <v>2</v>
      </c>
      <c r="V599" s="63">
        <f>+Tabla1[[#This Row],[STOCK  FEBRERO 2021]]-Tabla1[[#This Row],[REQUISICIONES MARZO 2021]]+Tabla1[[#This Row],[ENTRADAS MARZO 2021]]</f>
        <v>2</v>
      </c>
      <c r="W599" s="63">
        <f>+Tabla1[[#This Row],[STOCK MARZO 2021]]-Tabla1[[#This Row],[REQUISICIONES ABRIL 2021]]+Tabla1[[#This Row],[ENTRADAS ABRIL 2021]]</f>
        <v>2</v>
      </c>
      <c r="X599" s="63">
        <f>+Tabla1[[#This Row],[STOCK ABRIL 2021]]-Tabla1[[#This Row],[REQUISICIONES MAYO 2021]]+Tabla1[[#This Row],[ENTRADAS MAYO 2021]]</f>
        <v>2</v>
      </c>
      <c r="Y599" s="63">
        <f>+Tabla1[[#This Row],[STOCK MAYO 2021]]-Tabla1[[#This Row],[REQUISICIONES JUNIO 2021]]+Tabla1[[#This Row],[ENTRADAS JUNIO 2021]]</f>
        <v>2</v>
      </c>
      <c r="Z599" s="30" t="s">
        <v>433</v>
      </c>
      <c r="AA599" s="34">
        <v>2008.47</v>
      </c>
      <c r="AB599" s="35">
        <f t="shared" si="21"/>
        <v>2369.9946</v>
      </c>
      <c r="AC599" s="93">
        <f>Tabla1[[#This Row],[STOCK JUNIO ]]*Tabla1[[#This Row],[COSTO UNITARIO SIN ITBIS]]</f>
        <v>4016.94</v>
      </c>
    </row>
    <row r="600" spans="1:29" s="8" customFormat="1" x14ac:dyDescent="0.25">
      <c r="A600" s="265">
        <v>25</v>
      </c>
      <c r="B600" s="31">
        <v>44026</v>
      </c>
      <c r="C600" s="28" t="s">
        <v>11</v>
      </c>
      <c r="D600" s="31">
        <v>44026</v>
      </c>
      <c r="E600" s="137"/>
      <c r="F600" s="13">
        <v>1569</v>
      </c>
      <c r="G600" s="75" t="s">
        <v>645</v>
      </c>
      <c r="H600" s="72">
        <v>2</v>
      </c>
      <c r="I600" s="72"/>
      <c r="J600" s="72">
        <f>+'INVENTARIO ABRIL-JUNIO 2021'!$H600-'INVENTARIO ABRIL-JUNIO 2021'!$I600</f>
        <v>2</v>
      </c>
      <c r="K600" s="72"/>
      <c r="L600" s="72"/>
      <c r="M600" s="72"/>
      <c r="N600" s="72"/>
      <c r="O600" s="296"/>
      <c r="P600" s="72"/>
      <c r="Q600" s="72">
        <v>1</v>
      </c>
      <c r="R600" s="72"/>
      <c r="S600" s="72"/>
      <c r="T600" s="72"/>
      <c r="U600" s="72">
        <f>+Tabla1[[#This Row],[STOCK    FISICO ENERO 2021]]-Tabla1[[#This Row],[REQUISICIONES FEBRERO 2021]]</f>
        <v>2</v>
      </c>
      <c r="V600" s="72">
        <f>+Tabla1[[#This Row],[STOCK  FEBRERO 2021]]-Tabla1[[#This Row],[REQUISICIONES MARZO 2021]]+Tabla1[[#This Row],[ENTRADAS MARZO 2021]]</f>
        <v>1</v>
      </c>
      <c r="W600" s="72">
        <f>+Tabla1[[#This Row],[STOCK MARZO 2021]]-Tabla1[[#This Row],[REQUISICIONES ABRIL 2021]]+Tabla1[[#This Row],[ENTRADAS ABRIL 2021]]</f>
        <v>1</v>
      </c>
      <c r="X600" s="72">
        <f>+Tabla1[[#This Row],[STOCK ABRIL 2021]]-Tabla1[[#This Row],[REQUISICIONES MAYO 2021]]+Tabla1[[#This Row],[ENTRADAS MAYO 2021]]</f>
        <v>1</v>
      </c>
      <c r="Y600" s="72">
        <f>+Tabla1[[#This Row],[STOCK MAYO 2021]]-Tabla1[[#This Row],[REQUISICIONES JUNIO 2021]]+Tabla1[[#This Row],[ENTRADAS JUNIO 2021]]</f>
        <v>1</v>
      </c>
      <c r="Z600" s="73" t="s">
        <v>12</v>
      </c>
      <c r="AA600" s="76">
        <v>5491.52</v>
      </c>
      <c r="AB600" s="35">
        <f t="shared" si="21"/>
        <v>6479.9936000000007</v>
      </c>
      <c r="AC600" s="93">
        <f>Tabla1[[#This Row],[STOCK JUNIO ]]*Tabla1[[#This Row],[COSTO UNITARIO SIN ITBIS]]</f>
        <v>5491.52</v>
      </c>
    </row>
    <row r="601" spans="1:29" s="8" customFormat="1" x14ac:dyDescent="0.25">
      <c r="A601" s="265">
        <v>26</v>
      </c>
      <c r="B601" s="74">
        <v>44168</v>
      </c>
      <c r="C601" s="13" t="s">
        <v>11</v>
      </c>
      <c r="D601" s="74">
        <v>44153</v>
      </c>
      <c r="E601" s="145"/>
      <c r="F601" s="13"/>
      <c r="G601" s="75" t="s">
        <v>646</v>
      </c>
      <c r="H601" s="72">
        <v>1</v>
      </c>
      <c r="I601" s="72"/>
      <c r="J601" s="72">
        <f>+'INVENTARIO ABRIL-JUNIO 2021'!$H601-'INVENTARIO ABRIL-JUNIO 2021'!$I601</f>
        <v>1</v>
      </c>
      <c r="K601" s="72"/>
      <c r="L601" s="72"/>
      <c r="M601" s="72"/>
      <c r="N601" s="72"/>
      <c r="O601" s="296"/>
      <c r="P601" s="72"/>
      <c r="Q601" s="72">
        <v>1</v>
      </c>
      <c r="R601" s="72"/>
      <c r="S601" s="72"/>
      <c r="T601" s="72"/>
      <c r="U601" s="72">
        <f>+Tabla1[[#This Row],[STOCK    FISICO ENERO 2021]]-Tabla1[[#This Row],[REQUISICIONES FEBRERO 2021]]</f>
        <v>1</v>
      </c>
      <c r="V601" s="72">
        <f>+Tabla1[[#This Row],[STOCK  FEBRERO 2021]]-Tabla1[[#This Row],[REQUISICIONES MARZO 2021]]+Tabla1[[#This Row],[ENTRADAS MARZO 2021]]</f>
        <v>0</v>
      </c>
      <c r="W601" s="72">
        <f>+Tabla1[[#This Row],[STOCK MARZO 2021]]-Tabla1[[#This Row],[REQUISICIONES ABRIL 2021]]+Tabla1[[#This Row],[ENTRADAS ABRIL 2021]]</f>
        <v>0</v>
      </c>
      <c r="X601" s="72">
        <f>+Tabla1[[#This Row],[STOCK ABRIL 2021]]-Tabla1[[#This Row],[REQUISICIONES MAYO 2021]]+Tabla1[[#This Row],[ENTRADAS MAYO 2021]]</f>
        <v>0</v>
      </c>
      <c r="Y601" s="72">
        <f>+Tabla1[[#This Row],[STOCK MAYO 2021]]-Tabla1[[#This Row],[REQUISICIONES JUNIO 2021]]+Tabla1[[#This Row],[ENTRADAS JUNIO 2021]]</f>
        <v>0</v>
      </c>
      <c r="Z601" s="73" t="s">
        <v>438</v>
      </c>
      <c r="AA601" s="76">
        <v>4630</v>
      </c>
      <c r="AB601" s="35">
        <f t="shared" si="21"/>
        <v>5463.4</v>
      </c>
      <c r="AC601" s="93">
        <f>Tabla1[[#This Row],[STOCK JUNIO ]]*Tabla1[[#This Row],[COSTO UNITARIO SIN ITBIS]]</f>
        <v>0</v>
      </c>
    </row>
    <row r="602" spans="1:29" s="8" customFormat="1" x14ac:dyDescent="0.25">
      <c r="A602" s="265">
        <v>27</v>
      </c>
      <c r="B602" s="74">
        <v>44168</v>
      </c>
      <c r="C602" s="13" t="s">
        <v>11</v>
      </c>
      <c r="D602" s="74">
        <v>44153</v>
      </c>
      <c r="E602" s="145"/>
      <c r="F602" s="13">
        <v>1580</v>
      </c>
      <c r="G602" s="75" t="s">
        <v>439</v>
      </c>
      <c r="H602" s="72">
        <v>10</v>
      </c>
      <c r="I602" s="72"/>
      <c r="J602" s="72">
        <f>+'INVENTARIO ABRIL-JUNIO 2021'!$H602-'INVENTARIO ABRIL-JUNIO 2021'!$I602</f>
        <v>10</v>
      </c>
      <c r="K602" s="72"/>
      <c r="L602" s="72"/>
      <c r="M602" s="72"/>
      <c r="N602" s="72"/>
      <c r="O602" s="296"/>
      <c r="P602" s="72"/>
      <c r="Q602" s="72">
        <v>1</v>
      </c>
      <c r="R602" s="72">
        <v>1</v>
      </c>
      <c r="S602" s="72"/>
      <c r="T602" s="72"/>
      <c r="U602" s="72">
        <f>+Tabla1[[#This Row],[STOCK    FISICO ENERO 2021]]-Tabla1[[#This Row],[REQUISICIONES FEBRERO 2021]]</f>
        <v>10</v>
      </c>
      <c r="V602" s="72">
        <f>+Tabla1[[#This Row],[STOCK  FEBRERO 2021]]-Tabla1[[#This Row],[REQUISICIONES MARZO 2021]]+Tabla1[[#This Row],[ENTRADAS MARZO 2021]]</f>
        <v>9</v>
      </c>
      <c r="W602" s="72">
        <f>+Tabla1[[#This Row],[STOCK MARZO 2021]]-Tabla1[[#This Row],[REQUISICIONES ABRIL 2021]]+Tabla1[[#This Row],[ENTRADAS ABRIL 2021]]</f>
        <v>8</v>
      </c>
      <c r="X602" s="72">
        <f>+Tabla1[[#This Row],[STOCK ABRIL 2021]]-Tabla1[[#This Row],[REQUISICIONES MAYO 2021]]+Tabla1[[#This Row],[ENTRADAS MAYO 2021]]</f>
        <v>8</v>
      </c>
      <c r="Y602" s="72">
        <f>+Tabla1[[#This Row],[STOCK MAYO 2021]]-Tabla1[[#This Row],[REQUISICIONES JUNIO 2021]]+Tabla1[[#This Row],[ENTRADAS JUNIO 2021]]</f>
        <v>8</v>
      </c>
      <c r="Z602" s="73" t="s">
        <v>12</v>
      </c>
      <c r="AA602" s="76">
        <v>625.41999999999996</v>
      </c>
      <c r="AB602" s="35">
        <f t="shared" si="21"/>
        <v>737.99559999999997</v>
      </c>
      <c r="AC602" s="93">
        <f>Tabla1[[#This Row],[STOCK JUNIO ]]*Tabla1[[#This Row],[COSTO UNITARIO SIN ITBIS]]</f>
        <v>5003.3599999999997</v>
      </c>
    </row>
    <row r="603" spans="1:29" s="8" customFormat="1" ht="15.75" customHeight="1" x14ac:dyDescent="0.25">
      <c r="A603" s="265">
        <v>28</v>
      </c>
      <c r="B603" s="74">
        <v>44168</v>
      </c>
      <c r="C603" s="13" t="s">
        <v>11</v>
      </c>
      <c r="D603" s="74">
        <v>44152</v>
      </c>
      <c r="E603" s="145"/>
      <c r="F603" s="28">
        <v>1192</v>
      </c>
      <c r="G603" s="32" t="s">
        <v>440</v>
      </c>
      <c r="H603" s="63">
        <v>15</v>
      </c>
      <c r="I603" s="63"/>
      <c r="J603" s="63">
        <f>+'INVENTARIO ABRIL-JUNIO 2021'!$H603-'INVENTARIO ABRIL-JUNIO 2021'!$I603</f>
        <v>15</v>
      </c>
      <c r="K603" s="63"/>
      <c r="L603" s="63"/>
      <c r="M603" s="63"/>
      <c r="N603" s="63"/>
      <c r="O603" s="125"/>
      <c r="P603" s="63"/>
      <c r="Q603" s="63"/>
      <c r="R603" s="63"/>
      <c r="S603" s="63"/>
      <c r="T603" s="63"/>
      <c r="U603" s="63">
        <f>+Tabla1[[#This Row],[STOCK    FISICO ENERO 2021]]-Tabla1[[#This Row],[REQUISICIONES FEBRERO 2021]]</f>
        <v>15</v>
      </c>
      <c r="V603" s="63">
        <f>+Tabla1[[#This Row],[STOCK  FEBRERO 2021]]-Tabla1[[#This Row],[REQUISICIONES MARZO 2021]]+Tabla1[[#This Row],[ENTRADAS MARZO 2021]]</f>
        <v>15</v>
      </c>
      <c r="W603" s="63">
        <f>+Tabla1[[#This Row],[STOCK MARZO 2021]]-Tabla1[[#This Row],[REQUISICIONES ABRIL 2021]]+Tabla1[[#This Row],[ENTRADAS ABRIL 2021]]</f>
        <v>15</v>
      </c>
      <c r="X603" s="63">
        <f>+Tabla1[[#This Row],[STOCK ABRIL 2021]]-Tabla1[[#This Row],[REQUISICIONES MAYO 2021]]+Tabla1[[#This Row],[ENTRADAS MAYO 2021]]</f>
        <v>15</v>
      </c>
      <c r="Y603" s="63">
        <f>+Tabla1[[#This Row],[STOCK MAYO 2021]]-Tabla1[[#This Row],[REQUISICIONES JUNIO 2021]]+Tabla1[[#This Row],[ENTRADAS JUNIO 2021]]</f>
        <v>15</v>
      </c>
      <c r="Z603" s="30" t="s">
        <v>12</v>
      </c>
      <c r="AA603" s="34">
        <v>104.2</v>
      </c>
      <c r="AB603" s="35">
        <f t="shared" si="21"/>
        <v>122.956</v>
      </c>
      <c r="AC603" s="93">
        <f>Tabla1[[#This Row],[STOCK JUNIO ]]*Tabla1[[#This Row],[COSTO UNITARIO SIN ITBIS]]</f>
        <v>1563</v>
      </c>
    </row>
    <row r="604" spans="1:29" s="8" customFormat="1" x14ac:dyDescent="0.25">
      <c r="A604" s="265">
        <v>29</v>
      </c>
      <c r="B604" s="31">
        <v>43075</v>
      </c>
      <c r="C604" s="13" t="s">
        <v>11</v>
      </c>
      <c r="D604" s="31">
        <v>43075</v>
      </c>
      <c r="E604" s="137"/>
      <c r="F604" s="71"/>
      <c r="G604" s="32" t="s">
        <v>441</v>
      </c>
      <c r="H604" s="71">
        <v>4</v>
      </c>
      <c r="I604" s="71"/>
      <c r="J604" s="71">
        <f>+'INVENTARIO ABRIL-JUNIO 2021'!$H604-'INVENTARIO ABRIL-JUNIO 2021'!$I604</f>
        <v>4</v>
      </c>
      <c r="K604" s="71"/>
      <c r="L604" s="71"/>
      <c r="M604" s="71"/>
      <c r="N604" s="71"/>
      <c r="O604" s="297"/>
      <c r="P604" s="71"/>
      <c r="Q604" s="71"/>
      <c r="R604" s="71"/>
      <c r="S604" s="71"/>
      <c r="T604" s="71"/>
      <c r="U604" s="71">
        <f>+Tabla1[[#This Row],[STOCK    FISICO ENERO 2021]]-Tabla1[[#This Row],[REQUISICIONES FEBRERO 2021]]</f>
        <v>4</v>
      </c>
      <c r="V604" s="71">
        <f>+Tabla1[[#This Row],[STOCK  FEBRERO 2021]]-Tabla1[[#This Row],[REQUISICIONES MARZO 2021]]+Tabla1[[#This Row],[ENTRADAS MARZO 2021]]</f>
        <v>4</v>
      </c>
      <c r="W604" s="71">
        <f>+Tabla1[[#This Row],[STOCK MARZO 2021]]-Tabla1[[#This Row],[REQUISICIONES ABRIL 2021]]+Tabla1[[#This Row],[ENTRADAS ABRIL 2021]]</f>
        <v>4</v>
      </c>
      <c r="X604" s="71">
        <f>+Tabla1[[#This Row],[STOCK ABRIL 2021]]-Tabla1[[#This Row],[REQUISICIONES MAYO 2021]]+Tabla1[[#This Row],[ENTRADAS MAYO 2021]]</f>
        <v>4</v>
      </c>
      <c r="Y604" s="71">
        <f>+Tabla1[[#This Row],[STOCK MAYO 2021]]-Tabla1[[#This Row],[REQUISICIONES JUNIO 2021]]+Tabla1[[#This Row],[ENTRADAS JUNIO 2021]]</f>
        <v>4</v>
      </c>
      <c r="Z604" s="30" t="s">
        <v>12</v>
      </c>
      <c r="AA604" s="34">
        <v>250</v>
      </c>
      <c r="AB604" s="35">
        <v>295</v>
      </c>
      <c r="AC604" s="93">
        <f>Tabla1[[#This Row],[STOCK JUNIO ]]*Tabla1[[#This Row],[COSTO UNITARIO SIN ITBIS]]</f>
        <v>1000</v>
      </c>
    </row>
    <row r="605" spans="1:29" s="8" customFormat="1" x14ac:dyDescent="0.25">
      <c r="A605" s="265">
        <v>30</v>
      </c>
      <c r="B605" s="31">
        <v>44109</v>
      </c>
      <c r="C605" s="13" t="s">
        <v>11</v>
      </c>
      <c r="D605" s="31">
        <v>44109</v>
      </c>
      <c r="E605" s="137"/>
      <c r="F605" s="28" t="s">
        <v>20</v>
      </c>
      <c r="G605" s="32" t="s">
        <v>647</v>
      </c>
      <c r="H605" s="63">
        <v>75</v>
      </c>
      <c r="I605" s="63"/>
      <c r="J605" s="63">
        <f>+'INVENTARIO ABRIL-JUNIO 2021'!$H605-'INVENTARIO ABRIL-JUNIO 2021'!$I605</f>
        <v>75</v>
      </c>
      <c r="K605" s="63"/>
      <c r="L605" s="63"/>
      <c r="M605" s="63"/>
      <c r="N605" s="63"/>
      <c r="O605" s="125"/>
      <c r="P605" s="63"/>
      <c r="Q605" s="63"/>
      <c r="R605" s="63"/>
      <c r="S605" s="63"/>
      <c r="T605" s="63"/>
      <c r="U605" s="63">
        <f>+Tabla1[[#This Row],[STOCK    FISICO ENERO 2021]]-Tabla1[[#This Row],[REQUISICIONES FEBRERO 2021]]</f>
        <v>75</v>
      </c>
      <c r="V605" s="63">
        <f>+Tabla1[[#This Row],[STOCK  FEBRERO 2021]]-Tabla1[[#This Row],[REQUISICIONES MARZO 2021]]+Tabla1[[#This Row],[ENTRADAS MARZO 2021]]</f>
        <v>75</v>
      </c>
      <c r="W605" s="63">
        <f>+Tabla1[[#This Row],[STOCK MARZO 2021]]-Tabla1[[#This Row],[REQUISICIONES ABRIL 2021]]+Tabla1[[#This Row],[ENTRADAS ABRIL 2021]]</f>
        <v>75</v>
      </c>
      <c r="X605" s="63">
        <f>+Tabla1[[#This Row],[STOCK ABRIL 2021]]-Tabla1[[#This Row],[REQUISICIONES MAYO 2021]]+Tabla1[[#This Row],[ENTRADAS MAYO 2021]]</f>
        <v>75</v>
      </c>
      <c r="Y605" s="63">
        <f>+Tabla1[[#This Row],[STOCK MAYO 2021]]-Tabla1[[#This Row],[REQUISICIONES JUNIO 2021]]+Tabla1[[#This Row],[ENTRADAS JUNIO 2021]]</f>
        <v>75</v>
      </c>
      <c r="Z605" s="30" t="s">
        <v>12</v>
      </c>
      <c r="AA605" s="34">
        <v>0</v>
      </c>
      <c r="AB605" s="35">
        <f>AA605*0.18+AA605</f>
        <v>0</v>
      </c>
      <c r="AC605" s="93">
        <f>Tabla1[[#This Row],[STOCK JUNIO ]]*Tabla1[[#This Row],[COSTO UNITARIO SIN ITBIS]]</f>
        <v>0</v>
      </c>
    </row>
    <row r="606" spans="1:29" s="8" customFormat="1" ht="15" customHeight="1" x14ac:dyDescent="0.25">
      <c r="A606" s="265">
        <v>31</v>
      </c>
      <c r="B606" s="31">
        <v>44168</v>
      </c>
      <c r="C606" s="13" t="s">
        <v>11</v>
      </c>
      <c r="D606" s="74">
        <v>44154</v>
      </c>
      <c r="E606" s="145"/>
      <c r="F606" s="13">
        <v>1574</v>
      </c>
      <c r="G606" s="75" t="s">
        <v>649</v>
      </c>
      <c r="H606" s="72">
        <v>9</v>
      </c>
      <c r="I606" s="72"/>
      <c r="J606" s="72">
        <f>+'INVENTARIO ABRIL-JUNIO 2021'!$H606-'INVENTARIO ABRIL-JUNIO 2021'!$I606</f>
        <v>9</v>
      </c>
      <c r="K606" s="72"/>
      <c r="L606" s="72"/>
      <c r="M606" s="72"/>
      <c r="N606" s="72"/>
      <c r="O606" s="296"/>
      <c r="P606" s="72"/>
      <c r="Q606" s="72"/>
      <c r="R606" s="72">
        <v>1</v>
      </c>
      <c r="S606" s="72"/>
      <c r="T606" s="72">
        <v>1</v>
      </c>
      <c r="U606" s="72">
        <f>+Tabla1[[#This Row],[STOCK    FISICO ENERO 2021]]-Tabla1[[#This Row],[REQUISICIONES FEBRERO 2021]]</f>
        <v>9</v>
      </c>
      <c r="V606" s="72">
        <f>+Tabla1[[#This Row],[STOCK  FEBRERO 2021]]-Tabla1[[#This Row],[REQUISICIONES MARZO 2021]]+Tabla1[[#This Row],[ENTRADAS MARZO 2021]]</f>
        <v>9</v>
      </c>
      <c r="W606" s="72">
        <f>+Tabla1[[#This Row],[STOCK MARZO 2021]]-Tabla1[[#This Row],[REQUISICIONES ABRIL 2021]]+Tabla1[[#This Row],[ENTRADAS ABRIL 2021]]</f>
        <v>8</v>
      </c>
      <c r="X606" s="72">
        <f>+Tabla1[[#This Row],[STOCK ABRIL 2021]]-Tabla1[[#This Row],[REQUISICIONES MAYO 2021]]+Tabla1[[#This Row],[ENTRADAS MAYO 2021]]</f>
        <v>8</v>
      </c>
      <c r="Y606" s="72">
        <f>+Tabla1[[#This Row],[STOCK MAYO 2021]]-Tabla1[[#This Row],[REQUISICIONES JUNIO 2021]]+Tabla1[[#This Row],[ENTRADAS JUNIO 2021]]</f>
        <v>7</v>
      </c>
      <c r="Z606" s="73" t="s">
        <v>12</v>
      </c>
      <c r="AA606" s="76">
        <v>73.22</v>
      </c>
      <c r="AB606" s="35">
        <f>AA606*0.18+AA606</f>
        <v>86.399599999999992</v>
      </c>
      <c r="AC606" s="93">
        <f>Tabla1[[#This Row],[STOCK JUNIO ]]*Tabla1[[#This Row],[COSTO UNITARIO SIN ITBIS]]</f>
        <v>512.54</v>
      </c>
    </row>
    <row r="607" spans="1:29" s="8" customFormat="1" x14ac:dyDescent="0.25">
      <c r="A607" s="265">
        <v>32</v>
      </c>
      <c r="B607" s="31">
        <v>44168</v>
      </c>
      <c r="C607" s="28" t="s">
        <v>11</v>
      </c>
      <c r="D607" s="31">
        <v>44154</v>
      </c>
      <c r="E607" s="137"/>
      <c r="F607" s="28">
        <v>1576</v>
      </c>
      <c r="G607" s="32" t="s">
        <v>648</v>
      </c>
      <c r="H607" s="63">
        <v>13</v>
      </c>
      <c r="I607" s="63"/>
      <c r="J607" s="63">
        <f>+'INVENTARIO ABRIL-JUNIO 2021'!$H607-'INVENTARIO ABRIL-JUNIO 2021'!$I607</f>
        <v>13</v>
      </c>
      <c r="K607" s="63"/>
      <c r="L607" s="63"/>
      <c r="M607" s="63"/>
      <c r="N607" s="63"/>
      <c r="O607" s="125"/>
      <c r="P607" s="63"/>
      <c r="Q607" s="63"/>
      <c r="R607" s="63"/>
      <c r="S607" s="63"/>
      <c r="T607" s="63">
        <v>1</v>
      </c>
      <c r="U607" s="63">
        <f>+Tabla1[[#This Row],[STOCK    FISICO ENERO 2021]]-Tabla1[[#This Row],[REQUISICIONES FEBRERO 2021]]</f>
        <v>13</v>
      </c>
      <c r="V607" s="63">
        <f>+Tabla1[[#This Row],[STOCK  FEBRERO 2021]]-Tabla1[[#This Row],[REQUISICIONES MARZO 2021]]+Tabla1[[#This Row],[ENTRADAS MARZO 2021]]</f>
        <v>13</v>
      </c>
      <c r="W607" s="63">
        <f>+Tabla1[[#This Row],[STOCK MARZO 2021]]-Tabla1[[#This Row],[REQUISICIONES ABRIL 2021]]+Tabla1[[#This Row],[ENTRADAS ABRIL 2021]]</f>
        <v>13</v>
      </c>
      <c r="X607" s="63">
        <f>+Tabla1[[#This Row],[STOCK ABRIL 2021]]-Tabla1[[#This Row],[REQUISICIONES MAYO 2021]]+Tabla1[[#This Row],[ENTRADAS MAYO 2021]]</f>
        <v>13</v>
      </c>
      <c r="Y607" s="63">
        <f>+Tabla1[[#This Row],[STOCK MAYO 2021]]-Tabla1[[#This Row],[REQUISICIONES JUNIO 2021]]+Tabla1[[#This Row],[ENTRADAS JUNIO 2021]]</f>
        <v>12</v>
      </c>
      <c r="Z607" s="30" t="s">
        <v>12</v>
      </c>
      <c r="AA607" s="34">
        <v>81.349999999999994</v>
      </c>
      <c r="AB607" s="35">
        <f>AA607*0.18+AA607</f>
        <v>95.992999999999995</v>
      </c>
      <c r="AC607" s="93">
        <f>Tabla1[[#This Row],[STOCK JUNIO ]]*Tabla1[[#This Row],[COSTO UNITARIO SIN ITBIS]]</f>
        <v>976.19999999999993</v>
      </c>
    </row>
    <row r="608" spans="1:29" s="8" customFormat="1" x14ac:dyDescent="0.25">
      <c r="A608" s="265">
        <v>33</v>
      </c>
      <c r="B608" s="31">
        <v>44026</v>
      </c>
      <c r="C608" s="28" t="s">
        <v>11</v>
      </c>
      <c r="D608" s="31">
        <v>44026</v>
      </c>
      <c r="E608" s="137"/>
      <c r="F608" s="28">
        <v>1575</v>
      </c>
      <c r="G608" s="32" t="s">
        <v>442</v>
      </c>
      <c r="H608" s="63">
        <v>1</v>
      </c>
      <c r="I608" s="63"/>
      <c r="J608" s="63">
        <f>+'INVENTARIO ABRIL-JUNIO 2021'!$H608-'INVENTARIO ABRIL-JUNIO 2021'!$I608</f>
        <v>1</v>
      </c>
      <c r="K608" s="63"/>
      <c r="L608" s="63"/>
      <c r="M608" s="63"/>
      <c r="N608" s="63"/>
      <c r="O608" s="125"/>
      <c r="P608" s="63"/>
      <c r="Q608" s="63"/>
      <c r="R608" s="63">
        <v>1</v>
      </c>
      <c r="S608" s="63"/>
      <c r="T608" s="63"/>
      <c r="U608" s="63">
        <f>+Tabla1[[#This Row],[STOCK    FISICO ENERO 2021]]-Tabla1[[#This Row],[REQUISICIONES FEBRERO 2021]]</f>
        <v>1</v>
      </c>
      <c r="V608" s="63">
        <f>+Tabla1[[#This Row],[STOCK  FEBRERO 2021]]-Tabla1[[#This Row],[REQUISICIONES MARZO 2021]]+Tabla1[[#This Row],[ENTRADAS MARZO 2021]]</f>
        <v>1</v>
      </c>
      <c r="W608" s="63">
        <f>+Tabla1[[#This Row],[STOCK MARZO 2021]]-Tabla1[[#This Row],[REQUISICIONES ABRIL 2021]]+Tabla1[[#This Row],[ENTRADAS ABRIL 2021]]</f>
        <v>0</v>
      </c>
      <c r="X608" s="63">
        <f>+Tabla1[[#This Row],[STOCK ABRIL 2021]]-Tabla1[[#This Row],[REQUISICIONES MAYO 2021]]+Tabla1[[#This Row],[ENTRADAS MAYO 2021]]</f>
        <v>0</v>
      </c>
      <c r="Y608" s="63">
        <f>+Tabla1[[#This Row],[STOCK MAYO 2021]]-Tabla1[[#This Row],[REQUISICIONES JUNIO 2021]]+Tabla1[[#This Row],[ENTRADAS JUNIO 2021]]</f>
        <v>0</v>
      </c>
      <c r="Z608" s="30" t="s">
        <v>12</v>
      </c>
      <c r="AA608" s="34">
        <v>50.84</v>
      </c>
      <c r="AB608" s="35">
        <f>AA608*0.18+AA608</f>
        <v>59.991200000000006</v>
      </c>
      <c r="AC608" s="93">
        <f>Tabla1[[#This Row],[STOCK JUNIO ]]*Tabla1[[#This Row],[COSTO UNITARIO SIN ITBIS]]</f>
        <v>0</v>
      </c>
    </row>
    <row r="609" spans="1:29" s="8" customFormat="1" x14ac:dyDescent="0.25">
      <c r="A609" s="265">
        <v>34</v>
      </c>
      <c r="B609" s="74">
        <v>44168</v>
      </c>
      <c r="C609" s="13" t="s">
        <v>11</v>
      </c>
      <c r="D609" s="74">
        <v>44154</v>
      </c>
      <c r="E609" s="145"/>
      <c r="F609" s="13">
        <v>1577</v>
      </c>
      <c r="G609" s="75" t="s">
        <v>443</v>
      </c>
      <c r="H609" s="72">
        <v>20</v>
      </c>
      <c r="I609" s="72"/>
      <c r="J609" s="72">
        <f>+'INVENTARIO ABRIL-JUNIO 2021'!$H609-'INVENTARIO ABRIL-JUNIO 2021'!$I609</f>
        <v>20</v>
      </c>
      <c r="K609" s="72"/>
      <c r="L609" s="72"/>
      <c r="M609" s="72"/>
      <c r="N609" s="72"/>
      <c r="O609" s="296"/>
      <c r="P609" s="72"/>
      <c r="Q609" s="72"/>
      <c r="R609" s="72">
        <f>3+4</f>
        <v>7</v>
      </c>
      <c r="S609" s="72">
        <v>2</v>
      </c>
      <c r="T609" s="72">
        <v>10</v>
      </c>
      <c r="U609" s="72">
        <f>+Tabla1[[#This Row],[STOCK    FISICO ENERO 2021]]-Tabla1[[#This Row],[REQUISICIONES FEBRERO 2021]]</f>
        <v>20</v>
      </c>
      <c r="V609" s="72">
        <f>+Tabla1[[#This Row],[STOCK  FEBRERO 2021]]-Tabla1[[#This Row],[REQUISICIONES MARZO 2021]]+Tabla1[[#This Row],[ENTRADAS MARZO 2021]]</f>
        <v>20</v>
      </c>
      <c r="W609" s="72">
        <f>+Tabla1[[#This Row],[STOCK MARZO 2021]]-Tabla1[[#This Row],[REQUISICIONES ABRIL 2021]]+Tabla1[[#This Row],[ENTRADAS ABRIL 2021]]</f>
        <v>13</v>
      </c>
      <c r="X609" s="72">
        <f>+Tabla1[[#This Row],[STOCK ABRIL 2021]]-Tabla1[[#This Row],[REQUISICIONES MAYO 2021]]+Tabla1[[#This Row],[ENTRADAS MAYO 2021]]</f>
        <v>11</v>
      </c>
      <c r="Y609" s="72">
        <f>+Tabla1[[#This Row],[STOCK MAYO 2021]]-Tabla1[[#This Row],[REQUISICIONES JUNIO 2021]]+Tabla1[[#This Row],[ENTRADAS JUNIO 2021]]</f>
        <v>1</v>
      </c>
      <c r="Z609" s="73" t="s">
        <v>12</v>
      </c>
      <c r="AA609" s="76">
        <v>24.41</v>
      </c>
      <c r="AB609" s="35">
        <f>AA609*0.18+AA609</f>
        <v>28.803799999999999</v>
      </c>
      <c r="AC609" s="93">
        <f>Tabla1[[#This Row],[STOCK JUNIO ]]*Tabla1[[#This Row],[COSTO UNITARIO SIN ITBIS]]</f>
        <v>24.41</v>
      </c>
    </row>
    <row r="610" spans="1:29" s="8" customFormat="1" ht="15.75" thickBot="1" x14ac:dyDescent="0.3">
      <c r="A610" s="57"/>
      <c r="B610" s="56"/>
      <c r="C610" s="56"/>
      <c r="D610" s="56"/>
      <c r="E610" s="141"/>
      <c r="F610" s="56"/>
      <c r="G610" s="56"/>
      <c r="H610" s="57"/>
      <c r="I610" s="57"/>
      <c r="J610" s="57">
        <f>+'INVENTARIO ABRIL-JUNIO 2021'!$H610-'INVENTARIO ABRIL-JUNIO 2021'!$I610</f>
        <v>0</v>
      </c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>
        <f>+Tabla1[[#This Row],[STOCK  FEBRERO 2021]]-Tabla1[[#This Row],[REQUISICIONES MARZO 2021]]+Tabla1[[#This Row],[ENTRADAS MARZO 2021]]</f>
        <v>0</v>
      </c>
      <c r="W610" s="57"/>
      <c r="X610" s="57"/>
      <c r="Y610" s="57"/>
      <c r="Z610" s="56"/>
      <c r="AA610" s="106"/>
      <c r="AB610" s="106" t="s">
        <v>713</v>
      </c>
      <c r="AC610" s="95">
        <f>SUM(AC576:AC609)</f>
        <v>68926.109999999986</v>
      </c>
    </row>
    <row r="611" spans="1:29" s="8" customFormat="1" ht="15.75" thickTop="1" x14ac:dyDescent="0.25">
      <c r="A611" s="262" t="s">
        <v>444</v>
      </c>
      <c r="B611" s="61"/>
      <c r="C611" s="61"/>
      <c r="D611" s="61"/>
      <c r="E611" s="96"/>
      <c r="F611" s="61"/>
      <c r="G611" s="61"/>
      <c r="H611" s="61"/>
      <c r="I611" s="61"/>
      <c r="J611" s="61"/>
      <c r="K611" s="61"/>
      <c r="L611" s="61"/>
      <c r="M611" s="61"/>
      <c r="N611" s="61"/>
      <c r="O611" s="262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96"/>
    </row>
    <row r="612" spans="1:29" s="8" customFormat="1" x14ac:dyDescent="0.25">
      <c r="A612" s="265">
        <v>1</v>
      </c>
      <c r="B612" s="74">
        <v>44028</v>
      </c>
      <c r="C612" s="13" t="s">
        <v>11</v>
      </c>
      <c r="D612" s="74">
        <v>44028</v>
      </c>
      <c r="E612" s="145"/>
      <c r="F612" s="13">
        <v>1812</v>
      </c>
      <c r="G612" s="75" t="s">
        <v>445</v>
      </c>
      <c r="H612" s="72">
        <v>1</v>
      </c>
      <c r="I612" s="72"/>
      <c r="J612" s="72">
        <f>+'INVENTARIO ABRIL-JUNIO 2021'!$H612-'INVENTARIO ABRIL-JUNIO 2021'!$I612</f>
        <v>1</v>
      </c>
      <c r="K612" s="72"/>
      <c r="L612" s="72"/>
      <c r="M612" s="72"/>
      <c r="N612" s="72"/>
      <c r="O612" s="296"/>
      <c r="P612" s="72">
        <v>1</v>
      </c>
      <c r="Q612" s="72"/>
      <c r="R612" s="72"/>
      <c r="S612" s="72"/>
      <c r="T612" s="72"/>
      <c r="U612" s="72">
        <f>+Tabla1[[#This Row],[STOCK    FISICO ENERO 2021]]-Tabla1[[#This Row],[REQUISICIONES FEBRERO 2021]]</f>
        <v>0</v>
      </c>
      <c r="V612" s="72">
        <f>+Tabla1[[#This Row],[STOCK  FEBRERO 2021]]-Tabla1[[#This Row],[REQUISICIONES MARZO 2021]]+Tabla1[[#This Row],[ENTRADAS MARZO 2021]]</f>
        <v>0</v>
      </c>
      <c r="W612" s="72">
        <f>+Tabla1[[#This Row],[STOCK MARZO 2021]]-Tabla1[[#This Row],[REQUISICIONES ABRIL 2021]]+Tabla1[[#This Row],[ENTRADAS ABRIL 2021]]</f>
        <v>0</v>
      </c>
      <c r="X612" s="72">
        <f>+Tabla1[[#This Row],[STOCK ABRIL 2021]]-Tabla1[[#This Row],[REQUISICIONES MAYO 2021]]+Tabla1[[#This Row],[ENTRADAS MAYO 2021]]</f>
        <v>0</v>
      </c>
      <c r="Y612" s="72">
        <f>+Tabla1[[#This Row],[STOCK MAYO 2021]]-Tabla1[[#This Row],[REQUISICIONES JUNIO 2021]]+Tabla1[[#This Row],[ENTRADAS JUNIO 2021]]</f>
        <v>0</v>
      </c>
      <c r="Z612" s="73" t="s">
        <v>105</v>
      </c>
      <c r="AA612" s="76">
        <v>206.64</v>
      </c>
      <c r="AB612" s="35">
        <f>AA612*0.18+AA612</f>
        <v>243.83519999999999</v>
      </c>
      <c r="AC612" s="93">
        <f>Tabla1[[#This Row],[STOCK JUNIO ]]*Tabla1[[#This Row],[COSTO UNITARIO SIN ITBIS]]</f>
        <v>0</v>
      </c>
    </row>
    <row r="613" spans="1:29" s="10" customFormat="1" ht="24.75" thickBot="1" x14ac:dyDescent="0.3">
      <c r="A613" s="57"/>
      <c r="B613" s="56"/>
      <c r="C613" s="56"/>
      <c r="D613" s="56"/>
      <c r="E613" s="141"/>
      <c r="F613" s="56"/>
      <c r="G613" s="56"/>
      <c r="H613" s="57"/>
      <c r="I613" s="57"/>
      <c r="J613" s="57">
        <f>+'INVENTARIO ABRIL-JUNIO 2021'!$H613-'INVENTARIO ABRIL-JUNIO 2021'!$I613</f>
        <v>0</v>
      </c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>
        <f>+Tabla1[[#This Row],[STOCK  FEBRERO 2021]]-Tabla1[[#This Row],[REQUISICIONES MARZO 2021]]+Tabla1[[#This Row],[ENTRADAS MARZO 2021]]</f>
        <v>0</v>
      </c>
      <c r="W613" s="57"/>
      <c r="X613" s="57"/>
      <c r="Y613" s="57"/>
      <c r="Z613" s="56"/>
      <c r="AA613" s="58"/>
      <c r="AB613" s="58" t="s">
        <v>714</v>
      </c>
      <c r="AC613" s="95">
        <f>SUM(AC612:AC612)</f>
        <v>0</v>
      </c>
    </row>
    <row r="614" spans="1:29" s="8" customFormat="1" ht="15.75" thickTop="1" x14ac:dyDescent="0.25">
      <c r="A614" s="262" t="s">
        <v>446</v>
      </c>
      <c r="B614" s="61"/>
      <c r="C614" s="61"/>
      <c r="D614" s="61"/>
      <c r="E614" s="96"/>
      <c r="F614" s="61"/>
      <c r="G614" s="61"/>
      <c r="H614" s="61"/>
      <c r="I614" s="61"/>
      <c r="J614" s="61"/>
      <c r="K614" s="61"/>
      <c r="L614" s="61"/>
      <c r="M614" s="61"/>
      <c r="N614" s="61"/>
      <c r="O614" s="262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96"/>
    </row>
    <row r="615" spans="1:29" x14ac:dyDescent="0.25">
      <c r="A615" s="265">
        <v>1</v>
      </c>
      <c r="B615" s="31">
        <v>44169</v>
      </c>
      <c r="C615" s="28" t="s">
        <v>11</v>
      </c>
      <c r="D615" s="31">
        <v>44147</v>
      </c>
      <c r="E615" s="137"/>
      <c r="F615" s="13">
        <v>1588</v>
      </c>
      <c r="G615" s="75" t="s">
        <v>447</v>
      </c>
      <c r="H615" s="72">
        <v>5</v>
      </c>
      <c r="I615" s="72">
        <v>2</v>
      </c>
      <c r="J615" s="72">
        <f>+'INVENTARIO ABRIL-JUNIO 2021'!$H615-'INVENTARIO ABRIL-JUNIO 2021'!$I615</f>
        <v>3</v>
      </c>
      <c r="K615" s="72"/>
      <c r="L615" s="72"/>
      <c r="M615" s="72"/>
      <c r="N615" s="72"/>
      <c r="O615" s="296"/>
      <c r="P615" s="72">
        <v>1</v>
      </c>
      <c r="Q615" s="72"/>
      <c r="R615" s="72">
        <v>2</v>
      </c>
      <c r="S615" s="72"/>
      <c r="T615" s="72"/>
      <c r="U615" s="72">
        <f>+Tabla1[[#This Row],[STOCK    FISICO ENERO 2021]]-Tabla1[[#This Row],[REQUISICIONES FEBRERO 2021]]</f>
        <v>2</v>
      </c>
      <c r="V615" s="72">
        <f>+Tabla1[[#This Row],[STOCK  FEBRERO 2021]]-Tabla1[[#This Row],[REQUISICIONES MARZO 2021]]+Tabla1[[#This Row],[ENTRADAS MARZO 2021]]</f>
        <v>2</v>
      </c>
      <c r="W615" s="72">
        <f>+Tabla1[[#This Row],[STOCK MARZO 2021]]-Tabla1[[#This Row],[REQUISICIONES ABRIL 2021]]+Tabla1[[#This Row],[ENTRADAS ABRIL 2021]]</f>
        <v>0</v>
      </c>
      <c r="X615" s="72">
        <f>+Tabla1[[#This Row],[STOCK ABRIL 2021]]-Tabla1[[#This Row],[REQUISICIONES MAYO 2021]]+Tabla1[[#This Row],[ENTRADAS MAYO 2021]]</f>
        <v>0</v>
      </c>
      <c r="Y615" s="72">
        <f>+Tabla1[[#This Row],[STOCK MAYO 2021]]-Tabla1[[#This Row],[REQUISICIONES JUNIO 2021]]+Tabla1[[#This Row],[ENTRADAS JUNIO 2021]]</f>
        <v>0</v>
      </c>
      <c r="Z615" s="73" t="s">
        <v>12</v>
      </c>
      <c r="AA615" s="76">
        <v>45.76</v>
      </c>
      <c r="AB615" s="35">
        <f>AA615*0.18+AA615</f>
        <v>53.996799999999993</v>
      </c>
      <c r="AC615" s="93">
        <f>Tabla1[[#This Row],[STOCK JUNIO ]]*Tabla1[[#This Row],[COSTO UNITARIO SIN ITBIS]]</f>
        <v>0</v>
      </c>
    </row>
    <row r="616" spans="1:29" s="10" customFormat="1" x14ac:dyDescent="0.25">
      <c r="A616" s="265">
        <v>2</v>
      </c>
      <c r="B616" s="31">
        <v>44169</v>
      </c>
      <c r="C616" s="28" t="s">
        <v>11</v>
      </c>
      <c r="D616" s="31">
        <v>44147</v>
      </c>
      <c r="E616" s="137"/>
      <c r="F616" s="28"/>
      <c r="G616" s="32" t="s">
        <v>448</v>
      </c>
      <c r="H616" s="63">
        <v>2</v>
      </c>
      <c r="I616" s="63"/>
      <c r="J616" s="63">
        <f>+'INVENTARIO ABRIL-JUNIO 2021'!$H616-'INVENTARIO ABRIL-JUNIO 2021'!$I616</f>
        <v>2</v>
      </c>
      <c r="K616" s="63"/>
      <c r="L616" s="63"/>
      <c r="M616" s="63"/>
      <c r="N616" s="63"/>
      <c r="O616" s="125"/>
      <c r="P616" s="63"/>
      <c r="Q616" s="63"/>
      <c r="R616" s="63"/>
      <c r="S616" s="63"/>
      <c r="T616" s="63"/>
      <c r="U616" s="63">
        <f>+Tabla1[[#This Row],[STOCK    FISICO ENERO 2021]]-Tabla1[[#This Row],[REQUISICIONES FEBRERO 2021]]</f>
        <v>2</v>
      </c>
      <c r="V616" s="63">
        <f>+Tabla1[[#This Row],[STOCK  FEBRERO 2021]]-Tabla1[[#This Row],[REQUISICIONES MARZO 2021]]+Tabla1[[#This Row],[ENTRADAS MARZO 2021]]</f>
        <v>2</v>
      </c>
      <c r="W616" s="63">
        <f>+Tabla1[[#This Row],[STOCK MARZO 2021]]-Tabla1[[#This Row],[REQUISICIONES ABRIL 2021]]+Tabla1[[#This Row],[ENTRADAS ABRIL 2021]]</f>
        <v>2</v>
      </c>
      <c r="X616" s="63">
        <f>+Tabla1[[#This Row],[STOCK ABRIL 2021]]-Tabla1[[#This Row],[REQUISICIONES MAYO 2021]]+Tabla1[[#This Row],[ENTRADAS MAYO 2021]]</f>
        <v>2</v>
      </c>
      <c r="Y616" s="63">
        <f>+Tabla1[[#This Row],[STOCK MAYO 2021]]-Tabla1[[#This Row],[REQUISICIONES JUNIO 2021]]+Tabla1[[#This Row],[ENTRADAS JUNIO 2021]]</f>
        <v>2</v>
      </c>
      <c r="Z616" s="30" t="s">
        <v>196</v>
      </c>
      <c r="AA616" s="34">
        <v>4200</v>
      </c>
      <c r="AB616" s="35">
        <f>AA616*0.18+AA616</f>
        <v>4956</v>
      </c>
      <c r="AC616" s="93">
        <f>Tabla1[[#This Row],[STOCK JUNIO ]]*Tabla1[[#This Row],[COSTO UNITARIO SIN ITBIS]]</f>
        <v>8400</v>
      </c>
    </row>
    <row r="617" spans="1:29" s="8" customFormat="1" x14ac:dyDescent="0.25">
      <c r="A617" s="265">
        <v>3</v>
      </c>
      <c r="B617" s="31">
        <v>44169</v>
      </c>
      <c r="C617" s="28" t="s">
        <v>11</v>
      </c>
      <c r="D617" s="31">
        <v>44147</v>
      </c>
      <c r="E617" s="137"/>
      <c r="F617" s="28"/>
      <c r="G617" s="32" t="s">
        <v>449</v>
      </c>
      <c r="H617" s="63">
        <v>2</v>
      </c>
      <c r="I617" s="63"/>
      <c r="J617" s="63">
        <f>+'INVENTARIO ABRIL-JUNIO 2021'!$H617-'INVENTARIO ABRIL-JUNIO 2021'!$I617</f>
        <v>2</v>
      </c>
      <c r="K617" s="63"/>
      <c r="L617" s="63"/>
      <c r="M617" s="63"/>
      <c r="N617" s="63"/>
      <c r="O617" s="125"/>
      <c r="P617" s="63"/>
      <c r="Q617" s="63"/>
      <c r="R617" s="63"/>
      <c r="S617" s="63"/>
      <c r="T617" s="63"/>
      <c r="U617" s="63">
        <f>+Tabla1[[#This Row],[STOCK    FISICO ENERO 2021]]-Tabla1[[#This Row],[REQUISICIONES FEBRERO 2021]]</f>
        <v>2</v>
      </c>
      <c r="V617" s="63">
        <f>+Tabla1[[#This Row],[STOCK  FEBRERO 2021]]-Tabla1[[#This Row],[REQUISICIONES MARZO 2021]]+Tabla1[[#This Row],[ENTRADAS MARZO 2021]]</f>
        <v>2</v>
      </c>
      <c r="W617" s="63">
        <f>+Tabla1[[#This Row],[STOCK MARZO 2021]]-Tabla1[[#This Row],[REQUISICIONES ABRIL 2021]]+Tabla1[[#This Row],[ENTRADAS ABRIL 2021]]</f>
        <v>2</v>
      </c>
      <c r="X617" s="63">
        <f>+Tabla1[[#This Row],[STOCK ABRIL 2021]]-Tabla1[[#This Row],[REQUISICIONES MAYO 2021]]+Tabla1[[#This Row],[ENTRADAS MAYO 2021]]</f>
        <v>2</v>
      </c>
      <c r="Y617" s="63">
        <f>+Tabla1[[#This Row],[STOCK MAYO 2021]]-Tabla1[[#This Row],[REQUISICIONES JUNIO 2021]]+Tabla1[[#This Row],[ENTRADAS JUNIO 2021]]</f>
        <v>2</v>
      </c>
      <c r="Z617" s="30" t="s">
        <v>193</v>
      </c>
      <c r="AA617" s="34">
        <v>203</v>
      </c>
      <c r="AB617" s="35">
        <v>278.48</v>
      </c>
      <c r="AC617" s="93">
        <f>Tabla1[[#This Row],[STOCK JUNIO ]]*Tabla1[[#This Row],[COSTO UNITARIO SIN ITBIS]]</f>
        <v>406</v>
      </c>
    </row>
    <row r="618" spans="1:29" s="8" customFormat="1" x14ac:dyDescent="0.25">
      <c r="A618" s="265">
        <v>4</v>
      </c>
      <c r="B618" s="31">
        <v>44169</v>
      </c>
      <c r="C618" s="28" t="s">
        <v>11</v>
      </c>
      <c r="D618" s="31">
        <v>44147</v>
      </c>
      <c r="E618" s="137"/>
      <c r="F618" s="28"/>
      <c r="G618" s="32" t="s">
        <v>651</v>
      </c>
      <c r="H618" s="63">
        <v>2</v>
      </c>
      <c r="I618" s="63"/>
      <c r="J618" s="63">
        <f>+'INVENTARIO ABRIL-JUNIO 2021'!$H618-'INVENTARIO ABRIL-JUNIO 2021'!$I618</f>
        <v>2</v>
      </c>
      <c r="K618" s="63"/>
      <c r="L618" s="63"/>
      <c r="M618" s="63"/>
      <c r="N618" s="63"/>
      <c r="O618" s="125"/>
      <c r="P618" s="63"/>
      <c r="Q618" s="63">
        <v>1</v>
      </c>
      <c r="R618" s="63"/>
      <c r="S618" s="63"/>
      <c r="T618" s="63"/>
      <c r="U618" s="63">
        <f>+Tabla1[[#This Row],[STOCK    FISICO ENERO 2021]]-Tabla1[[#This Row],[REQUISICIONES FEBRERO 2021]]</f>
        <v>2</v>
      </c>
      <c r="V618" s="63">
        <f>+Tabla1[[#This Row],[STOCK  FEBRERO 2021]]-Tabla1[[#This Row],[REQUISICIONES MARZO 2021]]+Tabla1[[#This Row],[ENTRADAS MARZO 2021]]</f>
        <v>1</v>
      </c>
      <c r="W618" s="63">
        <f>+Tabla1[[#This Row],[STOCK MARZO 2021]]-Tabla1[[#This Row],[REQUISICIONES ABRIL 2021]]+Tabla1[[#This Row],[ENTRADAS ABRIL 2021]]</f>
        <v>1</v>
      </c>
      <c r="X618" s="63">
        <f>+Tabla1[[#This Row],[STOCK ABRIL 2021]]-Tabla1[[#This Row],[REQUISICIONES MAYO 2021]]+Tabla1[[#This Row],[ENTRADAS MAYO 2021]]</f>
        <v>1</v>
      </c>
      <c r="Y618" s="63">
        <f>+Tabla1[[#This Row],[STOCK MAYO 2021]]-Tabla1[[#This Row],[REQUISICIONES JUNIO 2021]]+Tabla1[[#This Row],[ENTRADAS JUNIO 2021]]</f>
        <v>1</v>
      </c>
      <c r="Z618" s="30" t="s">
        <v>193</v>
      </c>
      <c r="AA618" s="34">
        <v>480</v>
      </c>
      <c r="AB618" s="35">
        <f t="shared" ref="AB618:AB626" si="22">AA618*0.18+AA618</f>
        <v>566.4</v>
      </c>
      <c r="AC618" s="93">
        <f>Tabla1[[#This Row],[STOCK JUNIO ]]*Tabla1[[#This Row],[COSTO UNITARIO SIN ITBIS]]</f>
        <v>480</v>
      </c>
    </row>
    <row r="619" spans="1:29" s="8" customFormat="1" x14ac:dyDescent="0.25">
      <c r="A619" s="265">
        <v>5</v>
      </c>
      <c r="B619" s="31">
        <v>44169</v>
      </c>
      <c r="C619" s="28" t="s">
        <v>11</v>
      </c>
      <c r="D619" s="31">
        <v>44147</v>
      </c>
      <c r="E619" s="137"/>
      <c r="F619" s="28"/>
      <c r="G619" s="32" t="s">
        <v>650</v>
      </c>
      <c r="H619" s="63">
        <v>2</v>
      </c>
      <c r="I619" s="63"/>
      <c r="J619" s="63">
        <f>+'INVENTARIO ABRIL-JUNIO 2021'!$H619-'INVENTARIO ABRIL-JUNIO 2021'!$I619</f>
        <v>2</v>
      </c>
      <c r="K619" s="63"/>
      <c r="L619" s="63"/>
      <c r="M619" s="63"/>
      <c r="N619" s="63"/>
      <c r="O619" s="125"/>
      <c r="P619" s="63"/>
      <c r="Q619" s="63"/>
      <c r="R619" s="63"/>
      <c r="S619" s="63"/>
      <c r="T619" s="63"/>
      <c r="U619" s="63">
        <f>+Tabla1[[#This Row],[STOCK    FISICO ENERO 2021]]-Tabla1[[#This Row],[REQUISICIONES FEBRERO 2021]]</f>
        <v>2</v>
      </c>
      <c r="V619" s="63">
        <f>+Tabla1[[#This Row],[STOCK  FEBRERO 2021]]-Tabla1[[#This Row],[REQUISICIONES MARZO 2021]]+Tabla1[[#This Row],[ENTRADAS MARZO 2021]]</f>
        <v>2</v>
      </c>
      <c r="W619" s="63">
        <f>+Tabla1[[#This Row],[STOCK MARZO 2021]]-Tabla1[[#This Row],[REQUISICIONES ABRIL 2021]]+Tabla1[[#This Row],[ENTRADAS ABRIL 2021]]</f>
        <v>2</v>
      </c>
      <c r="X619" s="63">
        <f>+Tabla1[[#This Row],[STOCK ABRIL 2021]]-Tabla1[[#This Row],[REQUISICIONES MAYO 2021]]+Tabla1[[#This Row],[ENTRADAS MAYO 2021]]</f>
        <v>2</v>
      </c>
      <c r="Y619" s="63">
        <f>+Tabla1[[#This Row],[STOCK MAYO 2021]]-Tabla1[[#This Row],[REQUISICIONES JUNIO 2021]]+Tabla1[[#This Row],[ENTRADAS JUNIO 2021]]</f>
        <v>2</v>
      </c>
      <c r="Z619" s="30" t="s">
        <v>193</v>
      </c>
      <c r="AA619" s="34">
        <v>396</v>
      </c>
      <c r="AB619" s="35">
        <f t="shared" si="22"/>
        <v>467.28</v>
      </c>
      <c r="AC619" s="93">
        <f>Tabla1[[#This Row],[STOCK JUNIO ]]*Tabla1[[#This Row],[COSTO UNITARIO SIN ITBIS]]</f>
        <v>792</v>
      </c>
    </row>
    <row r="620" spans="1:29" s="8" customFormat="1" x14ac:dyDescent="0.25">
      <c r="A620" s="265">
        <v>6</v>
      </c>
      <c r="B620" s="31">
        <v>44169</v>
      </c>
      <c r="C620" s="28" t="s">
        <v>11</v>
      </c>
      <c r="D620" s="31">
        <v>44147</v>
      </c>
      <c r="E620" s="137"/>
      <c r="F620" s="28">
        <v>1108</v>
      </c>
      <c r="G620" s="32" t="s">
        <v>450</v>
      </c>
      <c r="H620" s="63">
        <v>14</v>
      </c>
      <c r="I620" s="63"/>
      <c r="J620" s="63">
        <f>+'INVENTARIO ABRIL-JUNIO 2021'!$H620-'INVENTARIO ABRIL-JUNIO 2021'!$I620</f>
        <v>14</v>
      </c>
      <c r="K620" s="63"/>
      <c r="L620" s="63"/>
      <c r="M620" s="63"/>
      <c r="N620" s="63"/>
      <c r="O620" s="125"/>
      <c r="P620" s="63">
        <v>4</v>
      </c>
      <c r="Q620" s="63">
        <f>1+2</f>
        <v>3</v>
      </c>
      <c r="R620" s="63">
        <v>2</v>
      </c>
      <c r="S620" s="63"/>
      <c r="T620" s="63">
        <v>2</v>
      </c>
      <c r="U620" s="63">
        <f>+Tabla1[[#This Row],[STOCK    FISICO ENERO 2021]]-Tabla1[[#This Row],[REQUISICIONES FEBRERO 2021]]</f>
        <v>10</v>
      </c>
      <c r="V620" s="63">
        <f>+Tabla1[[#This Row],[STOCK  FEBRERO 2021]]-Tabla1[[#This Row],[REQUISICIONES MARZO 2021]]+Tabla1[[#This Row],[ENTRADAS MARZO 2021]]</f>
        <v>7</v>
      </c>
      <c r="W620" s="63">
        <f>+Tabla1[[#This Row],[STOCK MARZO 2021]]-Tabla1[[#This Row],[REQUISICIONES ABRIL 2021]]+Tabla1[[#This Row],[ENTRADAS ABRIL 2021]]</f>
        <v>5</v>
      </c>
      <c r="X620" s="63">
        <f>+Tabla1[[#This Row],[STOCK ABRIL 2021]]-Tabla1[[#This Row],[REQUISICIONES MAYO 2021]]+Tabla1[[#This Row],[ENTRADAS MAYO 2021]]</f>
        <v>5</v>
      </c>
      <c r="Y620" s="63">
        <f>+Tabla1[[#This Row],[STOCK MAYO 2021]]-Tabla1[[#This Row],[REQUISICIONES JUNIO 2021]]+Tabla1[[#This Row],[ENTRADAS JUNIO 2021]]</f>
        <v>3</v>
      </c>
      <c r="Z620" s="30" t="s">
        <v>702</v>
      </c>
      <c r="AA620" s="34">
        <v>83.36</v>
      </c>
      <c r="AB620" s="35">
        <f t="shared" si="22"/>
        <v>98.364800000000002</v>
      </c>
      <c r="AC620" s="93">
        <f>Tabla1[[#This Row],[STOCK JUNIO ]]*Tabla1[[#This Row],[COSTO UNITARIO SIN ITBIS]]</f>
        <v>250.07999999999998</v>
      </c>
    </row>
    <row r="621" spans="1:29" s="8" customFormat="1" x14ac:dyDescent="0.25">
      <c r="A621" s="265">
        <v>7</v>
      </c>
      <c r="B621" s="31">
        <v>44169</v>
      </c>
      <c r="C621" s="28" t="s">
        <v>11</v>
      </c>
      <c r="D621" s="31">
        <v>44147</v>
      </c>
      <c r="E621" s="137"/>
      <c r="F621" s="13">
        <v>1594</v>
      </c>
      <c r="G621" s="75" t="s">
        <v>451</v>
      </c>
      <c r="H621" s="72">
        <v>10</v>
      </c>
      <c r="I621" s="72"/>
      <c r="J621" s="72">
        <f>+'INVENTARIO ABRIL-JUNIO 2021'!$H621-'INVENTARIO ABRIL-JUNIO 2021'!$I621</f>
        <v>10</v>
      </c>
      <c r="K621" s="72"/>
      <c r="L621" s="72"/>
      <c r="M621" s="72"/>
      <c r="N621" s="72"/>
      <c r="O621" s="296"/>
      <c r="P621" s="72"/>
      <c r="Q621" s="72">
        <f>1+1</f>
        <v>2</v>
      </c>
      <c r="R621" s="72">
        <v>1</v>
      </c>
      <c r="S621" s="72"/>
      <c r="T621" s="72"/>
      <c r="U621" s="72">
        <f>+Tabla1[[#This Row],[STOCK    FISICO ENERO 2021]]-Tabla1[[#This Row],[REQUISICIONES FEBRERO 2021]]</f>
        <v>10</v>
      </c>
      <c r="V621" s="72">
        <f>+Tabla1[[#This Row],[STOCK  FEBRERO 2021]]-Tabla1[[#This Row],[REQUISICIONES MARZO 2021]]+Tabla1[[#This Row],[ENTRADAS MARZO 2021]]</f>
        <v>8</v>
      </c>
      <c r="W621" s="72">
        <f>+Tabla1[[#This Row],[STOCK MARZO 2021]]-Tabla1[[#This Row],[REQUISICIONES ABRIL 2021]]+Tabla1[[#This Row],[ENTRADAS ABRIL 2021]]</f>
        <v>7</v>
      </c>
      <c r="X621" s="72">
        <f>+Tabla1[[#This Row],[STOCK ABRIL 2021]]-Tabla1[[#This Row],[REQUISICIONES MAYO 2021]]+Tabla1[[#This Row],[ENTRADAS MAYO 2021]]</f>
        <v>7</v>
      </c>
      <c r="Y621" s="72">
        <f>+Tabla1[[#This Row],[STOCK MAYO 2021]]-Tabla1[[#This Row],[REQUISICIONES JUNIO 2021]]+Tabla1[[#This Row],[ENTRADAS JUNIO 2021]]</f>
        <v>7</v>
      </c>
      <c r="Z621" s="73" t="s">
        <v>105</v>
      </c>
      <c r="AA621" s="76">
        <v>262.8</v>
      </c>
      <c r="AB621" s="35">
        <f t="shared" si="22"/>
        <v>310.10400000000004</v>
      </c>
      <c r="AC621" s="93">
        <f>Tabla1[[#This Row],[STOCK JUNIO ]]*Tabla1[[#This Row],[COSTO UNITARIO SIN ITBIS]]</f>
        <v>1839.6000000000001</v>
      </c>
    </row>
    <row r="622" spans="1:29" s="8" customFormat="1" x14ac:dyDescent="0.25">
      <c r="A622" s="265">
        <v>8</v>
      </c>
      <c r="B622" s="31">
        <v>44169</v>
      </c>
      <c r="C622" s="28" t="s">
        <v>11</v>
      </c>
      <c r="D622" s="31">
        <v>44147</v>
      </c>
      <c r="E622" s="137"/>
      <c r="F622" s="28">
        <v>1291</v>
      </c>
      <c r="G622" s="32" t="s">
        <v>452</v>
      </c>
      <c r="H622" s="63">
        <v>4</v>
      </c>
      <c r="I622" s="63"/>
      <c r="J622" s="63">
        <f>+'INVENTARIO ABRIL-JUNIO 2021'!$H622-'INVENTARIO ABRIL-JUNIO 2021'!$I622</f>
        <v>4</v>
      </c>
      <c r="K622" s="63"/>
      <c r="L622" s="63"/>
      <c r="M622" s="63"/>
      <c r="N622" s="63"/>
      <c r="O622" s="125"/>
      <c r="P622" s="63">
        <v>1</v>
      </c>
      <c r="Q622" s="63"/>
      <c r="R622" s="63">
        <v>1</v>
      </c>
      <c r="S622" s="63"/>
      <c r="T622" s="63"/>
      <c r="U622" s="63">
        <f>+Tabla1[[#This Row],[STOCK    FISICO ENERO 2021]]-Tabla1[[#This Row],[REQUISICIONES FEBRERO 2021]]</f>
        <v>3</v>
      </c>
      <c r="V622" s="63">
        <f>+Tabla1[[#This Row],[STOCK  FEBRERO 2021]]-Tabla1[[#This Row],[REQUISICIONES MARZO 2021]]+Tabla1[[#This Row],[ENTRADAS MARZO 2021]]</f>
        <v>3</v>
      </c>
      <c r="W622" s="63">
        <f>+Tabla1[[#This Row],[STOCK MARZO 2021]]-Tabla1[[#This Row],[REQUISICIONES ABRIL 2021]]+Tabla1[[#This Row],[ENTRADAS ABRIL 2021]]</f>
        <v>2</v>
      </c>
      <c r="X622" s="63">
        <f>+Tabla1[[#This Row],[STOCK ABRIL 2021]]-Tabla1[[#This Row],[REQUISICIONES MAYO 2021]]+Tabla1[[#This Row],[ENTRADAS MAYO 2021]]</f>
        <v>2</v>
      </c>
      <c r="Y622" s="63">
        <f>+Tabla1[[#This Row],[STOCK MAYO 2021]]-Tabla1[[#This Row],[REQUISICIONES JUNIO 2021]]+Tabla1[[#This Row],[ENTRADAS JUNIO 2021]]</f>
        <v>2</v>
      </c>
      <c r="Z622" s="30" t="s">
        <v>170</v>
      </c>
      <c r="AA622" s="34">
        <v>270.51</v>
      </c>
      <c r="AB622" s="35">
        <f t="shared" si="22"/>
        <v>319.20179999999999</v>
      </c>
      <c r="AC622" s="93">
        <f>Tabla1[[#This Row],[STOCK JUNIO ]]*Tabla1[[#This Row],[COSTO UNITARIO SIN ITBIS]]</f>
        <v>541.02</v>
      </c>
    </row>
    <row r="623" spans="1:29" s="8" customFormat="1" x14ac:dyDescent="0.25">
      <c r="A623" s="265">
        <v>9</v>
      </c>
      <c r="B623" s="74">
        <v>44026</v>
      </c>
      <c r="C623" s="13" t="s">
        <v>11</v>
      </c>
      <c r="D623" s="74">
        <v>44026</v>
      </c>
      <c r="E623" s="145"/>
      <c r="F623" s="28">
        <v>1540</v>
      </c>
      <c r="G623" s="32" t="s">
        <v>453</v>
      </c>
      <c r="H623" s="63">
        <v>5</v>
      </c>
      <c r="I623" s="63"/>
      <c r="J623" s="63">
        <f>+'INVENTARIO ABRIL-JUNIO 2021'!$H623-'INVENTARIO ABRIL-JUNIO 2021'!$I623</f>
        <v>5</v>
      </c>
      <c r="K623" s="63"/>
      <c r="L623" s="63"/>
      <c r="M623" s="63"/>
      <c r="N623" s="63"/>
      <c r="O623" s="125"/>
      <c r="P623" s="63"/>
      <c r="Q623" s="63"/>
      <c r="R623" s="63"/>
      <c r="S623" s="63"/>
      <c r="T623" s="63"/>
      <c r="U623" s="63">
        <f>+Tabla1[[#This Row],[STOCK    FISICO ENERO 2021]]-Tabla1[[#This Row],[REQUISICIONES FEBRERO 2021]]</f>
        <v>5</v>
      </c>
      <c r="V623" s="63">
        <f>+Tabla1[[#This Row],[STOCK  FEBRERO 2021]]-Tabla1[[#This Row],[REQUISICIONES MARZO 2021]]+Tabla1[[#This Row],[ENTRADAS MARZO 2021]]</f>
        <v>5</v>
      </c>
      <c r="W623" s="63">
        <f>+Tabla1[[#This Row],[STOCK MARZO 2021]]-Tabla1[[#This Row],[REQUISICIONES ABRIL 2021]]+Tabla1[[#This Row],[ENTRADAS ABRIL 2021]]</f>
        <v>5</v>
      </c>
      <c r="X623" s="63">
        <f>+Tabla1[[#This Row],[STOCK ABRIL 2021]]-Tabla1[[#This Row],[REQUISICIONES MAYO 2021]]+Tabla1[[#This Row],[ENTRADAS MAYO 2021]]</f>
        <v>5</v>
      </c>
      <c r="Y623" s="63">
        <f>+Tabla1[[#This Row],[STOCK MAYO 2021]]-Tabla1[[#This Row],[REQUISICIONES JUNIO 2021]]+Tabla1[[#This Row],[ENTRADAS JUNIO 2021]]</f>
        <v>5</v>
      </c>
      <c r="Z623" s="30" t="s">
        <v>170</v>
      </c>
      <c r="AA623" s="34">
        <v>438.92</v>
      </c>
      <c r="AB623" s="35">
        <f t="shared" si="22"/>
        <v>517.92560000000003</v>
      </c>
      <c r="AC623" s="93">
        <f>Tabla1[[#This Row],[STOCK JUNIO ]]*Tabla1[[#This Row],[COSTO UNITARIO SIN ITBIS]]</f>
        <v>2194.6</v>
      </c>
    </row>
    <row r="624" spans="1:29" s="8" customFormat="1" x14ac:dyDescent="0.25">
      <c r="A624" s="265">
        <v>10</v>
      </c>
      <c r="B624" s="74">
        <v>44026</v>
      </c>
      <c r="C624" s="13" t="s">
        <v>11</v>
      </c>
      <c r="D624" s="74">
        <v>44026</v>
      </c>
      <c r="E624" s="145"/>
      <c r="F624" s="28"/>
      <c r="G624" s="32" t="s">
        <v>454</v>
      </c>
      <c r="H624" s="63">
        <v>4</v>
      </c>
      <c r="I624" s="63"/>
      <c r="J624" s="63">
        <f>+'INVENTARIO ABRIL-JUNIO 2021'!$H624-'INVENTARIO ABRIL-JUNIO 2021'!$I624</f>
        <v>4</v>
      </c>
      <c r="K624" s="63"/>
      <c r="L624" s="63"/>
      <c r="M624" s="63"/>
      <c r="N624" s="63"/>
      <c r="O624" s="125"/>
      <c r="P624" s="63"/>
      <c r="Q624" s="63"/>
      <c r="R624" s="63"/>
      <c r="S624" s="63">
        <v>1</v>
      </c>
      <c r="T624" s="63"/>
      <c r="U624" s="63">
        <f>+Tabla1[[#This Row],[STOCK    FISICO ENERO 2021]]-Tabla1[[#This Row],[REQUISICIONES FEBRERO 2021]]</f>
        <v>4</v>
      </c>
      <c r="V624" s="63">
        <f>+Tabla1[[#This Row],[STOCK  FEBRERO 2021]]-Tabla1[[#This Row],[REQUISICIONES MARZO 2021]]+Tabla1[[#This Row],[ENTRADAS MARZO 2021]]</f>
        <v>4</v>
      </c>
      <c r="W624" s="63">
        <f>+Tabla1[[#This Row],[STOCK MARZO 2021]]-Tabla1[[#This Row],[REQUISICIONES ABRIL 2021]]+Tabla1[[#This Row],[ENTRADAS ABRIL 2021]]</f>
        <v>4</v>
      </c>
      <c r="X624" s="63">
        <f>+Tabla1[[#This Row],[STOCK ABRIL 2021]]-Tabla1[[#This Row],[REQUISICIONES MAYO 2021]]+Tabla1[[#This Row],[ENTRADAS MAYO 2021]]</f>
        <v>3</v>
      </c>
      <c r="Y624" s="63">
        <f>+Tabla1[[#This Row],[STOCK MAYO 2021]]-Tabla1[[#This Row],[REQUISICIONES JUNIO 2021]]+Tabla1[[#This Row],[ENTRADAS JUNIO 2021]]</f>
        <v>3</v>
      </c>
      <c r="Z624" s="30" t="s">
        <v>170</v>
      </c>
      <c r="AA624" s="34">
        <v>788.59</v>
      </c>
      <c r="AB624" s="35">
        <f t="shared" si="22"/>
        <v>930.53620000000001</v>
      </c>
      <c r="AC624" s="93">
        <f>Tabla1[[#This Row],[STOCK JUNIO ]]*Tabla1[[#This Row],[COSTO UNITARIO SIN ITBIS]]</f>
        <v>2365.77</v>
      </c>
    </row>
    <row r="625" spans="1:29" s="8" customFormat="1" x14ac:dyDescent="0.25">
      <c r="A625" s="265">
        <v>11</v>
      </c>
      <c r="B625" s="31">
        <v>44026</v>
      </c>
      <c r="C625" s="28" t="s">
        <v>11</v>
      </c>
      <c r="D625" s="31">
        <v>44026</v>
      </c>
      <c r="E625" s="137"/>
      <c r="F625" s="28"/>
      <c r="G625" s="32" t="s">
        <v>455</v>
      </c>
      <c r="H625" s="63">
        <v>5</v>
      </c>
      <c r="I625" s="63"/>
      <c r="J625" s="63">
        <f>+'INVENTARIO ABRIL-JUNIO 2021'!$H625-'INVENTARIO ABRIL-JUNIO 2021'!$I625</f>
        <v>5</v>
      </c>
      <c r="K625" s="63"/>
      <c r="L625" s="63"/>
      <c r="M625" s="63"/>
      <c r="N625" s="63"/>
      <c r="O625" s="125"/>
      <c r="P625" s="63"/>
      <c r="Q625" s="63"/>
      <c r="R625" s="63"/>
      <c r="S625" s="63"/>
      <c r="T625" s="63"/>
      <c r="U625" s="63">
        <f>+Tabla1[[#This Row],[STOCK    FISICO ENERO 2021]]-Tabla1[[#This Row],[REQUISICIONES FEBRERO 2021]]</f>
        <v>5</v>
      </c>
      <c r="V625" s="63">
        <f>+Tabla1[[#This Row],[STOCK  FEBRERO 2021]]-Tabla1[[#This Row],[REQUISICIONES MARZO 2021]]+Tabla1[[#This Row],[ENTRADAS MARZO 2021]]</f>
        <v>5</v>
      </c>
      <c r="W625" s="63">
        <f>+Tabla1[[#This Row],[STOCK MARZO 2021]]-Tabla1[[#This Row],[REQUISICIONES ABRIL 2021]]+Tabla1[[#This Row],[ENTRADAS ABRIL 2021]]</f>
        <v>5</v>
      </c>
      <c r="X625" s="63">
        <f>+Tabla1[[#This Row],[STOCK ABRIL 2021]]-Tabla1[[#This Row],[REQUISICIONES MAYO 2021]]+Tabla1[[#This Row],[ENTRADAS MAYO 2021]]</f>
        <v>5</v>
      </c>
      <c r="Y625" s="63">
        <f>+Tabla1[[#This Row],[STOCK MAYO 2021]]-Tabla1[[#This Row],[REQUISICIONES JUNIO 2021]]+Tabla1[[#This Row],[ENTRADAS JUNIO 2021]]</f>
        <v>5</v>
      </c>
      <c r="Z625" s="30" t="s">
        <v>170</v>
      </c>
      <c r="AA625" s="34">
        <v>763.16</v>
      </c>
      <c r="AB625" s="35">
        <f t="shared" si="22"/>
        <v>900.52879999999993</v>
      </c>
      <c r="AC625" s="93">
        <f>Tabla1[[#This Row],[STOCK JUNIO ]]*Tabla1[[#This Row],[COSTO UNITARIO SIN ITBIS]]</f>
        <v>3815.7999999999997</v>
      </c>
    </row>
    <row r="626" spans="1:29" s="8" customFormat="1" x14ac:dyDescent="0.25">
      <c r="A626" s="265">
        <v>12</v>
      </c>
      <c r="B626" s="74">
        <v>44026</v>
      </c>
      <c r="C626" s="13" t="s">
        <v>11</v>
      </c>
      <c r="D626" s="74">
        <v>44026</v>
      </c>
      <c r="E626" s="145"/>
      <c r="F626" s="13">
        <v>1541</v>
      </c>
      <c r="G626" s="75" t="s">
        <v>456</v>
      </c>
      <c r="H626" s="72">
        <v>22</v>
      </c>
      <c r="I626" s="72"/>
      <c r="J626" s="72">
        <f>+'INVENTARIO ABRIL-JUNIO 2021'!$H626-'INVENTARIO ABRIL-JUNIO 2021'!$I626</f>
        <v>22</v>
      </c>
      <c r="K626" s="72"/>
      <c r="L626" s="72"/>
      <c r="M626" s="72"/>
      <c r="N626" s="72"/>
      <c r="O626" s="296"/>
      <c r="P626" s="72"/>
      <c r="Q626" s="72"/>
      <c r="R626" s="72"/>
      <c r="S626" s="72"/>
      <c r="T626" s="72"/>
      <c r="U626" s="72">
        <f>+Tabla1[[#This Row],[STOCK    FISICO ENERO 2021]]-Tabla1[[#This Row],[REQUISICIONES FEBRERO 2021]]</f>
        <v>22</v>
      </c>
      <c r="V626" s="72">
        <f>+Tabla1[[#This Row],[STOCK  FEBRERO 2021]]-Tabla1[[#This Row],[REQUISICIONES MARZO 2021]]+Tabla1[[#This Row],[ENTRADAS MARZO 2021]]</f>
        <v>22</v>
      </c>
      <c r="W626" s="72">
        <f>+Tabla1[[#This Row],[STOCK MARZO 2021]]-Tabla1[[#This Row],[REQUISICIONES ABRIL 2021]]+Tabla1[[#This Row],[ENTRADAS ABRIL 2021]]</f>
        <v>22</v>
      </c>
      <c r="X626" s="72">
        <f>+Tabla1[[#This Row],[STOCK ABRIL 2021]]-Tabla1[[#This Row],[REQUISICIONES MAYO 2021]]+Tabla1[[#This Row],[ENTRADAS MAYO 2021]]</f>
        <v>22</v>
      </c>
      <c r="Y626" s="72">
        <f>+Tabla1[[#This Row],[STOCK MAYO 2021]]-Tabla1[[#This Row],[REQUISICIONES JUNIO 2021]]+Tabla1[[#This Row],[ENTRADAS JUNIO 2021]]</f>
        <v>22</v>
      </c>
      <c r="Z626" s="30" t="s">
        <v>170</v>
      </c>
      <c r="AA626" s="76">
        <v>935.59</v>
      </c>
      <c r="AB626" s="35">
        <f t="shared" si="22"/>
        <v>1103.9962</v>
      </c>
      <c r="AC626" s="93">
        <f>Tabla1[[#This Row],[STOCK JUNIO ]]*Tabla1[[#This Row],[COSTO UNITARIO SIN ITBIS]]</f>
        <v>20582.98</v>
      </c>
    </row>
    <row r="627" spans="1:29" s="8" customFormat="1" ht="15.75" customHeight="1" x14ac:dyDescent="0.25">
      <c r="A627" s="265">
        <v>13</v>
      </c>
      <c r="B627" s="31">
        <v>44026</v>
      </c>
      <c r="C627" s="28" t="s">
        <v>11</v>
      </c>
      <c r="D627" s="31">
        <v>44026</v>
      </c>
      <c r="E627" s="137"/>
      <c r="F627" s="13"/>
      <c r="G627" s="75" t="s">
        <v>457</v>
      </c>
      <c r="H627" s="72">
        <v>3</v>
      </c>
      <c r="I627" s="72"/>
      <c r="J627" s="72">
        <f>+'INVENTARIO ABRIL-JUNIO 2021'!$H627-'INVENTARIO ABRIL-JUNIO 2021'!$I627</f>
        <v>3</v>
      </c>
      <c r="K627" s="72"/>
      <c r="L627" s="72"/>
      <c r="M627" s="72"/>
      <c r="N627" s="72"/>
      <c r="O627" s="296"/>
      <c r="P627" s="72"/>
      <c r="Q627" s="72"/>
      <c r="R627" s="72"/>
      <c r="S627" s="72"/>
      <c r="T627" s="72"/>
      <c r="U627" s="72">
        <f>+Tabla1[[#This Row],[STOCK    FISICO ENERO 2021]]-Tabla1[[#This Row],[REQUISICIONES FEBRERO 2021]]</f>
        <v>3</v>
      </c>
      <c r="V627" s="72">
        <f>+Tabla1[[#This Row],[STOCK  FEBRERO 2021]]-Tabla1[[#This Row],[REQUISICIONES MARZO 2021]]+Tabla1[[#This Row],[ENTRADAS MARZO 2021]]</f>
        <v>3</v>
      </c>
      <c r="W627" s="72">
        <f>+Tabla1[[#This Row],[STOCK MARZO 2021]]-Tabla1[[#This Row],[REQUISICIONES ABRIL 2021]]+Tabla1[[#This Row],[ENTRADAS ABRIL 2021]]</f>
        <v>3</v>
      </c>
      <c r="X627" s="72">
        <f>+Tabla1[[#This Row],[STOCK ABRIL 2021]]-Tabla1[[#This Row],[REQUISICIONES MAYO 2021]]+Tabla1[[#This Row],[ENTRADAS MAYO 2021]]</f>
        <v>3</v>
      </c>
      <c r="Y627" s="72">
        <f>+Tabla1[[#This Row],[STOCK MAYO 2021]]-Tabla1[[#This Row],[REQUISICIONES JUNIO 2021]]+Tabla1[[#This Row],[ENTRADAS JUNIO 2021]]</f>
        <v>3</v>
      </c>
      <c r="Z627" s="30" t="s">
        <v>170</v>
      </c>
      <c r="AA627" s="76">
        <v>1480</v>
      </c>
      <c r="AB627" s="35">
        <v>1746.4</v>
      </c>
      <c r="AC627" s="93">
        <f>Tabla1[[#This Row],[STOCK JUNIO ]]*Tabla1[[#This Row],[COSTO UNITARIO SIN ITBIS]]</f>
        <v>4440</v>
      </c>
    </row>
    <row r="628" spans="1:29" s="8" customFormat="1" x14ac:dyDescent="0.25">
      <c r="A628" s="265">
        <v>14</v>
      </c>
      <c r="B628" s="31">
        <v>44169</v>
      </c>
      <c r="C628" s="28" t="s">
        <v>11</v>
      </c>
      <c r="D628" s="31">
        <v>44147</v>
      </c>
      <c r="E628" s="137"/>
      <c r="F628" s="28">
        <v>1535</v>
      </c>
      <c r="G628" s="32" t="s">
        <v>458</v>
      </c>
      <c r="H628" s="63">
        <v>3</v>
      </c>
      <c r="I628" s="63">
        <v>1</v>
      </c>
      <c r="J628" s="63">
        <f>+'INVENTARIO ABRIL-JUNIO 2021'!$H628-'INVENTARIO ABRIL-JUNIO 2021'!$I628</f>
        <v>2</v>
      </c>
      <c r="K628" s="63"/>
      <c r="L628" s="63"/>
      <c r="M628" s="63"/>
      <c r="N628" s="63"/>
      <c r="O628" s="125"/>
      <c r="P628" s="63"/>
      <c r="Q628" s="63"/>
      <c r="R628" s="63"/>
      <c r="S628" s="63">
        <f>1+1</f>
        <v>2</v>
      </c>
      <c r="T628" s="63"/>
      <c r="U628" s="63">
        <f>+Tabla1[[#This Row],[STOCK    FISICO ENERO 2021]]-Tabla1[[#This Row],[REQUISICIONES FEBRERO 2021]]</f>
        <v>2</v>
      </c>
      <c r="V628" s="63">
        <f>+Tabla1[[#This Row],[STOCK  FEBRERO 2021]]-Tabla1[[#This Row],[REQUISICIONES MARZO 2021]]+Tabla1[[#This Row],[ENTRADAS MARZO 2021]]</f>
        <v>2</v>
      </c>
      <c r="W628" s="63">
        <f>+Tabla1[[#This Row],[STOCK MARZO 2021]]-Tabla1[[#This Row],[REQUISICIONES ABRIL 2021]]+Tabla1[[#This Row],[ENTRADAS ABRIL 2021]]</f>
        <v>2</v>
      </c>
      <c r="X628" s="63">
        <f>+Tabla1[[#This Row],[STOCK ABRIL 2021]]-Tabla1[[#This Row],[REQUISICIONES MAYO 2021]]+Tabla1[[#This Row],[ENTRADAS MAYO 2021]]</f>
        <v>0</v>
      </c>
      <c r="Y628" s="63">
        <f>+Tabla1[[#This Row],[STOCK MAYO 2021]]-Tabla1[[#This Row],[REQUISICIONES JUNIO 2021]]+Tabla1[[#This Row],[ENTRADAS JUNIO 2021]]</f>
        <v>0</v>
      </c>
      <c r="Z628" s="30" t="s">
        <v>170</v>
      </c>
      <c r="AA628" s="34">
        <v>1134.92</v>
      </c>
      <c r="AB628" s="35">
        <f>AA628*0.18+AA628</f>
        <v>1339.2056</v>
      </c>
      <c r="AC628" s="93">
        <f>Tabla1[[#This Row],[STOCK JUNIO ]]*Tabla1[[#This Row],[COSTO UNITARIO SIN ITBIS]]</f>
        <v>0</v>
      </c>
    </row>
    <row r="629" spans="1:29" s="8" customFormat="1" x14ac:dyDescent="0.25">
      <c r="A629" s="265">
        <v>15</v>
      </c>
      <c r="B629" s="74">
        <v>44169</v>
      </c>
      <c r="C629" s="28" t="s">
        <v>11</v>
      </c>
      <c r="D629" s="74">
        <v>44147</v>
      </c>
      <c r="E629" s="145"/>
      <c r="F629" s="13">
        <v>1539</v>
      </c>
      <c r="G629" s="75" t="s">
        <v>459</v>
      </c>
      <c r="H629" s="72">
        <v>3</v>
      </c>
      <c r="I629" s="72"/>
      <c r="J629" s="72">
        <f>+'INVENTARIO ABRIL-JUNIO 2021'!$H629-'INVENTARIO ABRIL-JUNIO 2021'!$I629</f>
        <v>3</v>
      </c>
      <c r="K629" s="72"/>
      <c r="L629" s="72"/>
      <c r="M629" s="72"/>
      <c r="N629" s="72"/>
      <c r="O629" s="296"/>
      <c r="P629" s="72"/>
      <c r="Q629" s="72"/>
      <c r="R629" s="72"/>
      <c r="S629" s="72"/>
      <c r="T629" s="72">
        <v>1</v>
      </c>
      <c r="U629" s="72">
        <f>+Tabla1[[#This Row],[STOCK    FISICO ENERO 2021]]-Tabla1[[#This Row],[REQUISICIONES FEBRERO 2021]]</f>
        <v>3</v>
      </c>
      <c r="V629" s="72">
        <f>+Tabla1[[#This Row],[STOCK  FEBRERO 2021]]-Tabla1[[#This Row],[REQUISICIONES MARZO 2021]]+Tabla1[[#This Row],[ENTRADAS MARZO 2021]]</f>
        <v>3</v>
      </c>
      <c r="W629" s="72">
        <f>+Tabla1[[#This Row],[STOCK MARZO 2021]]-Tabla1[[#This Row],[REQUISICIONES ABRIL 2021]]+Tabla1[[#This Row],[ENTRADAS ABRIL 2021]]</f>
        <v>3</v>
      </c>
      <c r="X629" s="72">
        <f>+Tabla1[[#This Row],[STOCK ABRIL 2021]]-Tabla1[[#This Row],[REQUISICIONES MAYO 2021]]+Tabla1[[#This Row],[ENTRADAS MAYO 2021]]</f>
        <v>3</v>
      </c>
      <c r="Y629" s="72">
        <f>+Tabla1[[#This Row],[STOCK MAYO 2021]]-Tabla1[[#This Row],[REQUISICIONES JUNIO 2021]]+Tabla1[[#This Row],[ENTRADAS JUNIO 2021]]</f>
        <v>2</v>
      </c>
      <c r="Z629" s="30" t="s">
        <v>170</v>
      </c>
      <c r="AA629" s="76">
        <v>615.25</v>
      </c>
      <c r="AB629" s="35">
        <f>AA629*0.18+AA629</f>
        <v>725.995</v>
      </c>
      <c r="AC629" s="93">
        <f>Tabla1[[#This Row],[STOCK JUNIO ]]*Tabla1[[#This Row],[COSTO UNITARIO SIN ITBIS]]</f>
        <v>1230.5</v>
      </c>
    </row>
    <row r="630" spans="1:29" s="8" customFormat="1" x14ac:dyDescent="0.25">
      <c r="A630" s="265">
        <v>16</v>
      </c>
      <c r="B630" s="74">
        <v>44169</v>
      </c>
      <c r="C630" s="28" t="s">
        <v>11</v>
      </c>
      <c r="D630" s="74">
        <v>44147</v>
      </c>
      <c r="E630" s="145"/>
      <c r="F630" s="28">
        <v>1176</v>
      </c>
      <c r="G630" s="32" t="s">
        <v>460</v>
      </c>
      <c r="H630" s="63">
        <v>18</v>
      </c>
      <c r="I630" s="63"/>
      <c r="J630" s="63">
        <f>+'INVENTARIO ABRIL-JUNIO 2021'!$H630-'INVENTARIO ABRIL-JUNIO 2021'!$I630</f>
        <v>18</v>
      </c>
      <c r="K630" s="63"/>
      <c r="L630" s="63"/>
      <c r="M630" s="63"/>
      <c r="N630" s="63"/>
      <c r="O630" s="125"/>
      <c r="P630" s="63">
        <v>1</v>
      </c>
      <c r="Q630" s="63">
        <v>1</v>
      </c>
      <c r="R630" s="63">
        <v>1</v>
      </c>
      <c r="S630" s="63"/>
      <c r="T630" s="63"/>
      <c r="U630" s="63">
        <f>+Tabla1[[#This Row],[STOCK    FISICO ENERO 2021]]-Tabla1[[#This Row],[REQUISICIONES FEBRERO 2021]]</f>
        <v>17</v>
      </c>
      <c r="V630" s="63">
        <f>+Tabla1[[#This Row],[STOCK  FEBRERO 2021]]-Tabla1[[#This Row],[REQUISICIONES MARZO 2021]]+Tabla1[[#This Row],[ENTRADAS MARZO 2021]]</f>
        <v>16</v>
      </c>
      <c r="W630" s="63">
        <f>+Tabla1[[#This Row],[STOCK MARZO 2021]]-Tabla1[[#This Row],[REQUISICIONES ABRIL 2021]]+Tabla1[[#This Row],[ENTRADAS ABRIL 2021]]</f>
        <v>15</v>
      </c>
      <c r="X630" s="63">
        <f>+Tabla1[[#This Row],[STOCK ABRIL 2021]]-Tabla1[[#This Row],[REQUISICIONES MAYO 2021]]+Tabla1[[#This Row],[ENTRADAS MAYO 2021]]</f>
        <v>15</v>
      </c>
      <c r="Y630" s="63">
        <f>+Tabla1[[#This Row],[STOCK MAYO 2021]]-Tabla1[[#This Row],[REQUISICIONES JUNIO 2021]]+Tabla1[[#This Row],[ENTRADAS JUNIO 2021]]</f>
        <v>15</v>
      </c>
      <c r="Z630" s="30" t="s">
        <v>461</v>
      </c>
      <c r="AA630" s="34">
        <v>788</v>
      </c>
      <c r="AB630" s="35">
        <v>929.84</v>
      </c>
      <c r="AC630" s="93">
        <f>Tabla1[[#This Row],[STOCK JUNIO ]]*Tabla1[[#This Row],[COSTO UNITARIO SIN ITBIS]]</f>
        <v>11820</v>
      </c>
    </row>
    <row r="631" spans="1:29" s="8" customFormat="1" x14ac:dyDescent="0.25">
      <c r="A631" s="265">
        <v>17</v>
      </c>
      <c r="B631" s="74">
        <v>44026</v>
      </c>
      <c r="C631" s="28" t="s">
        <v>11</v>
      </c>
      <c r="D631" s="74">
        <v>44026</v>
      </c>
      <c r="E631" s="145"/>
      <c r="F631" s="28">
        <v>1115</v>
      </c>
      <c r="G631" s="32" t="s">
        <v>462</v>
      </c>
      <c r="H631" s="63">
        <v>47</v>
      </c>
      <c r="I631" s="63"/>
      <c r="J631" s="63">
        <f>+'INVENTARIO ABRIL-JUNIO 2021'!$H631-'INVENTARIO ABRIL-JUNIO 2021'!$I631</f>
        <v>47</v>
      </c>
      <c r="K631" s="63"/>
      <c r="L631" s="63"/>
      <c r="M631" s="63"/>
      <c r="N631" s="63"/>
      <c r="O631" s="125"/>
      <c r="P631" s="63"/>
      <c r="Q631" s="63"/>
      <c r="R631" s="63"/>
      <c r="S631" s="63"/>
      <c r="T631" s="63"/>
      <c r="U631" s="63">
        <f>+Tabla1[[#This Row],[STOCK    FISICO ENERO 2021]]-Tabla1[[#This Row],[REQUISICIONES FEBRERO 2021]]</f>
        <v>47</v>
      </c>
      <c r="V631" s="63">
        <f>+Tabla1[[#This Row],[STOCK  FEBRERO 2021]]-Tabla1[[#This Row],[REQUISICIONES MARZO 2021]]+Tabla1[[#This Row],[ENTRADAS MARZO 2021]]</f>
        <v>47</v>
      </c>
      <c r="W631" s="63">
        <f>+Tabla1[[#This Row],[STOCK MARZO 2021]]-Tabla1[[#This Row],[REQUISICIONES ABRIL 2021]]+Tabla1[[#This Row],[ENTRADAS ABRIL 2021]]</f>
        <v>47</v>
      </c>
      <c r="X631" s="63">
        <f>+Tabla1[[#This Row],[STOCK ABRIL 2021]]-Tabla1[[#This Row],[REQUISICIONES MAYO 2021]]+Tabla1[[#This Row],[ENTRADAS MAYO 2021]]</f>
        <v>47</v>
      </c>
      <c r="Y631" s="63">
        <f>+Tabla1[[#This Row],[STOCK MAYO 2021]]-Tabla1[[#This Row],[REQUISICIONES JUNIO 2021]]+Tabla1[[#This Row],[ENTRADAS JUNIO 2021]]</f>
        <v>47</v>
      </c>
      <c r="Z631" s="30" t="s">
        <v>12</v>
      </c>
      <c r="AA631" s="34">
        <v>65</v>
      </c>
      <c r="AB631" s="35">
        <f>AA631*0.18+AA631</f>
        <v>76.7</v>
      </c>
      <c r="AC631" s="93">
        <f>Tabla1[[#This Row],[STOCK JUNIO ]]*Tabla1[[#This Row],[COSTO UNITARIO SIN ITBIS]]</f>
        <v>3055</v>
      </c>
    </row>
    <row r="632" spans="1:29" s="8" customFormat="1" ht="16.5" customHeight="1" x14ac:dyDescent="0.25">
      <c r="A632" s="265">
        <v>18</v>
      </c>
      <c r="B632" s="31">
        <v>44169</v>
      </c>
      <c r="C632" s="28" t="s">
        <v>11</v>
      </c>
      <c r="D632" s="31">
        <v>44147</v>
      </c>
      <c r="E632" s="137"/>
      <c r="F632" s="28">
        <v>1116</v>
      </c>
      <c r="G632" s="32" t="s">
        <v>463</v>
      </c>
      <c r="H632" s="63">
        <v>54</v>
      </c>
      <c r="I632" s="63"/>
      <c r="J632" s="63">
        <f>+'INVENTARIO ABRIL-JUNIO 2021'!$H632-'INVENTARIO ABRIL-JUNIO 2021'!$I632</f>
        <v>54</v>
      </c>
      <c r="K632" s="63"/>
      <c r="L632" s="63"/>
      <c r="M632" s="63"/>
      <c r="N632" s="63"/>
      <c r="O632" s="125"/>
      <c r="P632" s="63"/>
      <c r="Q632" s="63"/>
      <c r="R632" s="63"/>
      <c r="S632" s="63"/>
      <c r="T632" s="63"/>
      <c r="U632" s="63">
        <f>+Tabla1[[#This Row],[STOCK    FISICO ENERO 2021]]-Tabla1[[#This Row],[REQUISICIONES FEBRERO 2021]]</f>
        <v>54</v>
      </c>
      <c r="V632" s="63">
        <f>+Tabla1[[#This Row],[STOCK  FEBRERO 2021]]-Tabla1[[#This Row],[REQUISICIONES MARZO 2021]]+Tabla1[[#This Row],[ENTRADAS MARZO 2021]]</f>
        <v>54</v>
      </c>
      <c r="W632" s="63">
        <f>+Tabla1[[#This Row],[STOCK MARZO 2021]]-Tabla1[[#This Row],[REQUISICIONES ABRIL 2021]]+Tabla1[[#This Row],[ENTRADAS ABRIL 2021]]</f>
        <v>54</v>
      </c>
      <c r="X632" s="63">
        <f>+Tabla1[[#This Row],[STOCK ABRIL 2021]]-Tabla1[[#This Row],[REQUISICIONES MAYO 2021]]+Tabla1[[#This Row],[ENTRADAS MAYO 2021]]</f>
        <v>54</v>
      </c>
      <c r="Y632" s="63">
        <f>+Tabla1[[#This Row],[STOCK MAYO 2021]]-Tabla1[[#This Row],[REQUISICIONES JUNIO 2021]]+Tabla1[[#This Row],[ENTRADAS JUNIO 2021]]</f>
        <v>54</v>
      </c>
      <c r="Z632" s="30" t="s">
        <v>12</v>
      </c>
      <c r="AA632" s="34">
        <v>65</v>
      </c>
      <c r="AB632" s="35">
        <f>AA632*0.18+AA632</f>
        <v>76.7</v>
      </c>
      <c r="AC632" s="93">
        <f>Tabla1[[#This Row],[STOCK JUNIO ]]*Tabla1[[#This Row],[COSTO UNITARIO SIN ITBIS]]</f>
        <v>3510</v>
      </c>
    </row>
    <row r="633" spans="1:29" s="8" customFormat="1" ht="15.75" customHeight="1" x14ac:dyDescent="0.25">
      <c r="A633" s="265">
        <v>19</v>
      </c>
      <c r="B633" s="31">
        <v>44169</v>
      </c>
      <c r="C633" s="28" t="s">
        <v>11</v>
      </c>
      <c r="D633" s="31">
        <v>44147</v>
      </c>
      <c r="E633" s="137"/>
      <c r="F633" s="13">
        <v>1114</v>
      </c>
      <c r="G633" s="75" t="s">
        <v>464</v>
      </c>
      <c r="H633" s="72">
        <v>24</v>
      </c>
      <c r="I633" s="72"/>
      <c r="J633" s="72">
        <f>+'INVENTARIO ABRIL-JUNIO 2021'!$H633-'INVENTARIO ABRIL-JUNIO 2021'!$I633</f>
        <v>24</v>
      </c>
      <c r="K633" s="72"/>
      <c r="L633" s="72"/>
      <c r="M633" s="72"/>
      <c r="N633" s="72"/>
      <c r="O633" s="296"/>
      <c r="P633" s="72">
        <v>1</v>
      </c>
      <c r="Q633" s="72"/>
      <c r="R633" s="72"/>
      <c r="S633" s="72"/>
      <c r="T633" s="72"/>
      <c r="U633" s="72">
        <f>+Tabla1[[#This Row],[STOCK    FISICO ENERO 2021]]-Tabla1[[#This Row],[REQUISICIONES FEBRERO 2021]]</f>
        <v>23</v>
      </c>
      <c r="V633" s="72">
        <f>+Tabla1[[#This Row],[STOCK  FEBRERO 2021]]-Tabla1[[#This Row],[REQUISICIONES MARZO 2021]]+Tabla1[[#This Row],[ENTRADAS MARZO 2021]]</f>
        <v>23</v>
      </c>
      <c r="W633" s="72">
        <f>+Tabla1[[#This Row],[STOCK MARZO 2021]]-Tabla1[[#This Row],[REQUISICIONES ABRIL 2021]]+Tabla1[[#This Row],[ENTRADAS ABRIL 2021]]</f>
        <v>23</v>
      </c>
      <c r="X633" s="72">
        <f>+Tabla1[[#This Row],[STOCK ABRIL 2021]]-Tabla1[[#This Row],[REQUISICIONES MAYO 2021]]+Tabla1[[#This Row],[ENTRADAS MAYO 2021]]</f>
        <v>23</v>
      </c>
      <c r="Y633" s="72">
        <f>+Tabla1[[#This Row],[STOCK MAYO 2021]]-Tabla1[[#This Row],[REQUISICIONES JUNIO 2021]]+Tabla1[[#This Row],[ENTRADAS JUNIO 2021]]</f>
        <v>23</v>
      </c>
      <c r="Z633" s="73" t="s">
        <v>12</v>
      </c>
      <c r="AA633" s="76">
        <v>37.5</v>
      </c>
      <c r="AB633" s="35">
        <f>AA633*0.18+AA633</f>
        <v>44.25</v>
      </c>
      <c r="AC633" s="93">
        <f>Tabla1[[#This Row],[STOCK JUNIO ]]*Tabla1[[#This Row],[COSTO UNITARIO SIN ITBIS]]</f>
        <v>862.5</v>
      </c>
    </row>
    <row r="634" spans="1:29" s="8" customFormat="1" x14ac:dyDescent="0.25">
      <c r="A634" s="265">
        <v>20</v>
      </c>
      <c r="B634" s="74">
        <v>44026</v>
      </c>
      <c r="C634" s="28" t="s">
        <v>11</v>
      </c>
      <c r="D634" s="74">
        <v>44026</v>
      </c>
      <c r="E634" s="145"/>
      <c r="F634" s="28">
        <v>1117</v>
      </c>
      <c r="G634" s="32" t="s">
        <v>465</v>
      </c>
      <c r="H634" s="63">
        <v>21</v>
      </c>
      <c r="I634" s="63"/>
      <c r="J634" s="63">
        <f>+'INVENTARIO ABRIL-JUNIO 2021'!$H634-'INVENTARIO ABRIL-JUNIO 2021'!$I634</f>
        <v>21</v>
      </c>
      <c r="K634" s="63"/>
      <c r="L634" s="63"/>
      <c r="M634" s="63"/>
      <c r="N634" s="63"/>
      <c r="O634" s="125"/>
      <c r="P634" s="63">
        <v>2</v>
      </c>
      <c r="Q634" s="63"/>
      <c r="R634" s="63"/>
      <c r="S634" s="63">
        <v>2</v>
      </c>
      <c r="T634" s="63"/>
      <c r="U634" s="63">
        <f>+Tabla1[[#This Row],[STOCK    FISICO ENERO 2021]]-Tabla1[[#This Row],[REQUISICIONES FEBRERO 2021]]</f>
        <v>19</v>
      </c>
      <c r="V634" s="63">
        <f>+Tabla1[[#This Row],[STOCK  FEBRERO 2021]]-Tabla1[[#This Row],[REQUISICIONES MARZO 2021]]+Tabla1[[#This Row],[ENTRADAS MARZO 2021]]</f>
        <v>19</v>
      </c>
      <c r="W634" s="63">
        <f>+Tabla1[[#This Row],[STOCK MARZO 2021]]-Tabla1[[#This Row],[REQUISICIONES ABRIL 2021]]+Tabla1[[#This Row],[ENTRADAS ABRIL 2021]]</f>
        <v>19</v>
      </c>
      <c r="X634" s="63">
        <f>+Tabla1[[#This Row],[STOCK ABRIL 2021]]-Tabla1[[#This Row],[REQUISICIONES MAYO 2021]]+Tabla1[[#This Row],[ENTRADAS MAYO 2021]]</f>
        <v>17</v>
      </c>
      <c r="Y634" s="63">
        <f>+Tabla1[[#This Row],[STOCK MAYO 2021]]-Tabla1[[#This Row],[REQUISICIONES JUNIO 2021]]+Tabla1[[#This Row],[ENTRADAS JUNIO 2021]]</f>
        <v>17</v>
      </c>
      <c r="Z634" s="30" t="s">
        <v>12</v>
      </c>
      <c r="AA634" s="34">
        <v>65</v>
      </c>
      <c r="AB634" s="35">
        <f>AA634*0.18+AA634</f>
        <v>76.7</v>
      </c>
      <c r="AC634" s="93">
        <f>Tabla1[[#This Row],[STOCK JUNIO ]]*Tabla1[[#This Row],[COSTO UNITARIO SIN ITBIS]]</f>
        <v>1105</v>
      </c>
    </row>
    <row r="635" spans="1:29" s="8" customFormat="1" x14ac:dyDescent="0.25">
      <c r="A635" s="265">
        <v>21</v>
      </c>
      <c r="B635" s="31">
        <v>43088</v>
      </c>
      <c r="C635" s="28" t="s">
        <v>11</v>
      </c>
      <c r="D635" s="31">
        <v>43088</v>
      </c>
      <c r="E635" s="137"/>
      <c r="F635" s="28">
        <v>1507</v>
      </c>
      <c r="G635" s="32" t="s">
        <v>466</v>
      </c>
      <c r="H635" s="63">
        <v>30</v>
      </c>
      <c r="I635" s="63">
        <v>2</v>
      </c>
      <c r="J635" s="63">
        <f>+'INVENTARIO ABRIL-JUNIO 2021'!$H635-'INVENTARIO ABRIL-JUNIO 2021'!$I635</f>
        <v>28</v>
      </c>
      <c r="K635" s="63"/>
      <c r="L635" s="63"/>
      <c r="M635" s="63"/>
      <c r="N635" s="63"/>
      <c r="O635" s="125"/>
      <c r="P635" s="63"/>
      <c r="Q635" s="63">
        <v>2</v>
      </c>
      <c r="R635" s="63">
        <f>1+2</f>
        <v>3</v>
      </c>
      <c r="S635" s="63"/>
      <c r="T635" s="63"/>
      <c r="U635" s="63">
        <f>+Tabla1[[#This Row],[STOCK    FISICO ENERO 2021]]-Tabla1[[#This Row],[REQUISICIONES FEBRERO 2021]]</f>
        <v>28</v>
      </c>
      <c r="V635" s="63">
        <f>+Tabla1[[#This Row],[STOCK  FEBRERO 2021]]-Tabla1[[#This Row],[REQUISICIONES MARZO 2021]]+Tabla1[[#This Row],[ENTRADAS MARZO 2021]]</f>
        <v>26</v>
      </c>
      <c r="W635" s="63">
        <f>+Tabla1[[#This Row],[STOCK MARZO 2021]]-Tabla1[[#This Row],[REQUISICIONES ABRIL 2021]]+Tabla1[[#This Row],[ENTRADAS ABRIL 2021]]</f>
        <v>23</v>
      </c>
      <c r="X635" s="63">
        <f>+Tabla1[[#This Row],[STOCK ABRIL 2021]]-Tabla1[[#This Row],[REQUISICIONES MAYO 2021]]+Tabla1[[#This Row],[ENTRADAS MAYO 2021]]</f>
        <v>23</v>
      </c>
      <c r="Y635" s="63">
        <f>+Tabla1[[#This Row],[STOCK MAYO 2021]]-Tabla1[[#This Row],[REQUISICIONES JUNIO 2021]]+Tabla1[[#This Row],[ENTRADAS JUNIO 2021]]</f>
        <v>23</v>
      </c>
      <c r="Z635" s="30" t="s">
        <v>105</v>
      </c>
      <c r="AA635" s="34">
        <v>15.6</v>
      </c>
      <c r="AB635" s="35">
        <f>AA635*0.18+AA635</f>
        <v>18.408000000000001</v>
      </c>
      <c r="AC635" s="93">
        <f>Tabla1[[#This Row],[STOCK JUNIO ]]*Tabla1[[#This Row],[COSTO UNITARIO SIN ITBIS]]</f>
        <v>358.8</v>
      </c>
    </row>
    <row r="636" spans="1:29" s="8" customFormat="1" x14ac:dyDescent="0.25">
      <c r="A636" s="265">
        <v>22</v>
      </c>
      <c r="B636" s="31">
        <v>43088</v>
      </c>
      <c r="C636" s="28" t="s">
        <v>11</v>
      </c>
      <c r="D636" s="31">
        <v>43088</v>
      </c>
      <c r="E636" s="137"/>
      <c r="F636" s="28">
        <v>1119</v>
      </c>
      <c r="G636" s="32" t="s">
        <v>467</v>
      </c>
      <c r="H636" s="63">
        <v>16</v>
      </c>
      <c r="I636" s="63"/>
      <c r="J636" s="63">
        <f>+'INVENTARIO ABRIL-JUNIO 2021'!$H636-'INVENTARIO ABRIL-JUNIO 2021'!$I636</f>
        <v>16</v>
      </c>
      <c r="K636" s="63"/>
      <c r="L636" s="63"/>
      <c r="M636" s="63"/>
      <c r="N636" s="63"/>
      <c r="O636" s="125"/>
      <c r="P636" s="63">
        <v>2</v>
      </c>
      <c r="Q636" s="63">
        <v>1</v>
      </c>
      <c r="R636" s="63">
        <v>1</v>
      </c>
      <c r="S636" s="63">
        <v>2</v>
      </c>
      <c r="T636" s="63"/>
      <c r="U636" s="63">
        <f>+Tabla1[[#This Row],[STOCK    FISICO ENERO 2021]]-Tabla1[[#This Row],[REQUISICIONES FEBRERO 2021]]</f>
        <v>14</v>
      </c>
      <c r="V636" s="63">
        <f>+Tabla1[[#This Row],[STOCK  FEBRERO 2021]]-Tabla1[[#This Row],[REQUISICIONES MARZO 2021]]+Tabla1[[#This Row],[ENTRADAS MARZO 2021]]</f>
        <v>13</v>
      </c>
      <c r="W636" s="63">
        <f>+Tabla1[[#This Row],[STOCK MARZO 2021]]-Tabla1[[#This Row],[REQUISICIONES ABRIL 2021]]+Tabla1[[#This Row],[ENTRADAS ABRIL 2021]]</f>
        <v>12</v>
      </c>
      <c r="X636" s="63">
        <f>+Tabla1[[#This Row],[STOCK ABRIL 2021]]-Tabla1[[#This Row],[REQUISICIONES MAYO 2021]]+Tabla1[[#This Row],[ENTRADAS MAYO 2021]]</f>
        <v>10</v>
      </c>
      <c r="Y636" s="63">
        <f>+Tabla1[[#This Row],[STOCK MAYO 2021]]-Tabla1[[#This Row],[REQUISICIONES JUNIO 2021]]+Tabla1[[#This Row],[ENTRADAS JUNIO 2021]]</f>
        <v>10</v>
      </c>
      <c r="Z636" s="30" t="s">
        <v>12</v>
      </c>
      <c r="AA636" s="34">
        <v>25</v>
      </c>
      <c r="AB636" s="35">
        <v>29.5</v>
      </c>
      <c r="AC636" s="93">
        <f>Tabla1[[#This Row],[STOCK JUNIO ]]*Tabla1[[#This Row],[COSTO UNITARIO SIN ITBIS]]</f>
        <v>250</v>
      </c>
    </row>
    <row r="637" spans="1:29" s="8" customFormat="1" x14ac:dyDescent="0.25">
      <c r="A637" s="265">
        <v>23</v>
      </c>
      <c r="B637" s="74">
        <v>43088</v>
      </c>
      <c r="C637" s="13" t="s">
        <v>11</v>
      </c>
      <c r="D637" s="74">
        <v>43088</v>
      </c>
      <c r="E637" s="145"/>
      <c r="F637" s="13">
        <v>1120</v>
      </c>
      <c r="G637" s="75" t="s">
        <v>468</v>
      </c>
      <c r="H637" s="72">
        <v>52</v>
      </c>
      <c r="I637" s="72"/>
      <c r="J637" s="72">
        <f>+'INVENTARIO ABRIL-JUNIO 2021'!$H637-'INVENTARIO ABRIL-JUNIO 2021'!$I637</f>
        <v>52</v>
      </c>
      <c r="K637" s="72"/>
      <c r="L637" s="72"/>
      <c r="M637" s="72"/>
      <c r="N637" s="72"/>
      <c r="O637" s="296"/>
      <c r="P637" s="72"/>
      <c r="Q637" s="72"/>
      <c r="R637" s="72"/>
      <c r="S637" s="72"/>
      <c r="T637" s="72"/>
      <c r="U637" s="72">
        <f>+Tabla1[[#This Row],[STOCK    FISICO ENERO 2021]]-Tabla1[[#This Row],[REQUISICIONES FEBRERO 2021]]</f>
        <v>52</v>
      </c>
      <c r="V637" s="72">
        <f>+Tabla1[[#This Row],[STOCK  FEBRERO 2021]]-Tabla1[[#This Row],[REQUISICIONES MARZO 2021]]+Tabla1[[#This Row],[ENTRADAS MARZO 2021]]</f>
        <v>52</v>
      </c>
      <c r="W637" s="72">
        <f>+Tabla1[[#This Row],[STOCK MARZO 2021]]-Tabla1[[#This Row],[REQUISICIONES ABRIL 2021]]+Tabla1[[#This Row],[ENTRADAS ABRIL 2021]]</f>
        <v>52</v>
      </c>
      <c r="X637" s="72">
        <f>+Tabla1[[#This Row],[STOCK ABRIL 2021]]-Tabla1[[#This Row],[REQUISICIONES MAYO 2021]]+Tabla1[[#This Row],[ENTRADAS MAYO 2021]]</f>
        <v>52</v>
      </c>
      <c r="Y637" s="72">
        <f>+Tabla1[[#This Row],[STOCK MAYO 2021]]-Tabla1[[#This Row],[REQUISICIONES JUNIO 2021]]+Tabla1[[#This Row],[ENTRADAS JUNIO 2021]]</f>
        <v>52</v>
      </c>
      <c r="Z637" s="73" t="s">
        <v>12</v>
      </c>
      <c r="AA637" s="76">
        <v>65</v>
      </c>
      <c r="AB637" s="35">
        <f t="shared" ref="AB637:AB642" si="23">AA637*0.18+AA637</f>
        <v>76.7</v>
      </c>
      <c r="AC637" s="93">
        <f>Tabla1[[#This Row],[STOCK JUNIO ]]*Tabla1[[#This Row],[COSTO UNITARIO SIN ITBIS]]</f>
        <v>3380</v>
      </c>
    </row>
    <row r="638" spans="1:29" s="8" customFormat="1" x14ac:dyDescent="0.25">
      <c r="A638" s="265">
        <v>24</v>
      </c>
      <c r="B638" s="31">
        <v>43088</v>
      </c>
      <c r="C638" s="28" t="s">
        <v>11</v>
      </c>
      <c r="D638" s="31">
        <v>43088</v>
      </c>
      <c r="E638" s="137"/>
      <c r="F638" s="13">
        <v>1500</v>
      </c>
      <c r="G638" s="75" t="s">
        <v>469</v>
      </c>
      <c r="H638" s="72">
        <v>4</v>
      </c>
      <c r="I638" s="72"/>
      <c r="J638" s="72">
        <f>+'INVENTARIO ABRIL-JUNIO 2021'!$H638-'INVENTARIO ABRIL-JUNIO 2021'!$I638</f>
        <v>4</v>
      </c>
      <c r="K638" s="72"/>
      <c r="L638" s="72"/>
      <c r="M638" s="72"/>
      <c r="N638" s="72"/>
      <c r="O638" s="296"/>
      <c r="P638" s="72"/>
      <c r="Q638" s="72"/>
      <c r="R638" s="72"/>
      <c r="S638" s="72"/>
      <c r="T638" s="72"/>
      <c r="U638" s="72">
        <f>+Tabla1[[#This Row],[STOCK    FISICO ENERO 2021]]-Tabla1[[#This Row],[REQUISICIONES FEBRERO 2021]]</f>
        <v>4</v>
      </c>
      <c r="V638" s="72">
        <f>+Tabla1[[#This Row],[STOCK  FEBRERO 2021]]-Tabla1[[#This Row],[REQUISICIONES MARZO 2021]]+Tabla1[[#This Row],[ENTRADAS MARZO 2021]]</f>
        <v>4</v>
      </c>
      <c r="W638" s="72">
        <f>+Tabla1[[#This Row],[STOCK MARZO 2021]]-Tabla1[[#This Row],[REQUISICIONES ABRIL 2021]]+Tabla1[[#This Row],[ENTRADAS ABRIL 2021]]</f>
        <v>4</v>
      </c>
      <c r="X638" s="72">
        <f>+Tabla1[[#This Row],[STOCK ABRIL 2021]]-Tabla1[[#This Row],[REQUISICIONES MAYO 2021]]+Tabla1[[#This Row],[ENTRADAS MAYO 2021]]</f>
        <v>4</v>
      </c>
      <c r="Y638" s="72">
        <f>+Tabla1[[#This Row],[STOCK MAYO 2021]]-Tabla1[[#This Row],[REQUISICIONES JUNIO 2021]]+Tabla1[[#This Row],[ENTRADAS JUNIO 2021]]</f>
        <v>4</v>
      </c>
      <c r="Z638" s="73" t="s">
        <v>12</v>
      </c>
      <c r="AA638" s="76">
        <v>65</v>
      </c>
      <c r="AB638" s="35">
        <f t="shared" si="23"/>
        <v>76.7</v>
      </c>
      <c r="AC638" s="93">
        <f>Tabla1[[#This Row],[STOCK JUNIO ]]*Tabla1[[#This Row],[COSTO UNITARIO SIN ITBIS]]</f>
        <v>260</v>
      </c>
    </row>
    <row r="639" spans="1:29" s="8" customFormat="1" x14ac:dyDescent="0.25">
      <c r="A639" s="265">
        <v>25</v>
      </c>
      <c r="B639" s="31">
        <v>44025</v>
      </c>
      <c r="C639" s="28" t="s">
        <v>11</v>
      </c>
      <c r="D639" s="31">
        <v>44025</v>
      </c>
      <c r="E639" s="137"/>
      <c r="F639" s="13">
        <v>1121</v>
      </c>
      <c r="G639" s="75" t="s">
        <v>470</v>
      </c>
      <c r="H639" s="72">
        <v>0</v>
      </c>
      <c r="I639" s="72"/>
      <c r="J639" s="72">
        <f>+'INVENTARIO ABRIL-JUNIO 2021'!$H639-'INVENTARIO ABRIL-JUNIO 2021'!$I639</f>
        <v>0</v>
      </c>
      <c r="K639" s="72"/>
      <c r="L639" s="72"/>
      <c r="M639" s="72"/>
      <c r="N639" s="72"/>
      <c r="O639" s="296"/>
      <c r="P639" s="72"/>
      <c r="Q639" s="72"/>
      <c r="R639" s="72"/>
      <c r="S639" s="72"/>
      <c r="T639" s="72"/>
      <c r="U639" s="72">
        <f>+Tabla1[[#This Row],[STOCK    FISICO ENERO 2021]]-Tabla1[[#This Row],[REQUISICIONES FEBRERO 2021]]</f>
        <v>0</v>
      </c>
      <c r="V639" s="72">
        <f>+Tabla1[[#This Row],[STOCK  FEBRERO 2021]]-Tabla1[[#This Row],[REQUISICIONES MARZO 2021]]+Tabla1[[#This Row],[ENTRADAS MARZO 2021]]</f>
        <v>0</v>
      </c>
      <c r="W639" s="72">
        <f>+Tabla1[[#This Row],[STOCK MARZO 2021]]-Tabla1[[#This Row],[REQUISICIONES ABRIL 2021]]+Tabla1[[#This Row],[ENTRADAS ABRIL 2021]]</f>
        <v>0</v>
      </c>
      <c r="X639" s="72">
        <f>+Tabla1[[#This Row],[STOCK ABRIL 2021]]-Tabla1[[#This Row],[REQUISICIONES MAYO 2021]]+Tabla1[[#This Row],[ENTRADAS MAYO 2021]]</f>
        <v>0</v>
      </c>
      <c r="Y639" s="72">
        <f>+Tabla1[[#This Row],[STOCK MAYO 2021]]-Tabla1[[#This Row],[REQUISICIONES JUNIO 2021]]+Tabla1[[#This Row],[ENTRADAS JUNIO 2021]]</f>
        <v>0</v>
      </c>
      <c r="Z639" s="73" t="s">
        <v>12</v>
      </c>
      <c r="AA639" s="76">
        <v>0</v>
      </c>
      <c r="AB639" s="35">
        <f t="shared" si="23"/>
        <v>0</v>
      </c>
      <c r="AC639" s="93">
        <f>Tabla1[[#This Row],[STOCK JUNIO ]]*Tabla1[[#This Row],[COSTO UNITARIO SIN ITBIS]]</f>
        <v>0</v>
      </c>
    </row>
    <row r="640" spans="1:29" s="8" customFormat="1" x14ac:dyDescent="0.25">
      <c r="A640" s="265">
        <v>26</v>
      </c>
      <c r="B640" s="31">
        <v>44168</v>
      </c>
      <c r="C640" s="28" t="s">
        <v>11</v>
      </c>
      <c r="D640" s="31">
        <v>44147</v>
      </c>
      <c r="E640" s="137"/>
      <c r="F640" s="28">
        <v>1498</v>
      </c>
      <c r="G640" s="32" t="s">
        <v>471</v>
      </c>
      <c r="H640" s="63">
        <v>60</v>
      </c>
      <c r="I640" s="63"/>
      <c r="J640" s="63">
        <f>+'INVENTARIO ABRIL-JUNIO 2021'!$H640-'INVENTARIO ABRIL-JUNIO 2021'!$I640</f>
        <v>60</v>
      </c>
      <c r="K640" s="63"/>
      <c r="L640" s="63"/>
      <c r="M640" s="63"/>
      <c r="N640" s="63"/>
      <c r="O640" s="125"/>
      <c r="P640" s="63"/>
      <c r="Q640" s="63"/>
      <c r="R640" s="63">
        <v>1</v>
      </c>
      <c r="S640" s="63"/>
      <c r="T640" s="63"/>
      <c r="U640" s="63">
        <f>+Tabla1[[#This Row],[STOCK    FISICO ENERO 2021]]-Tabla1[[#This Row],[REQUISICIONES FEBRERO 2021]]</f>
        <v>60</v>
      </c>
      <c r="V640" s="63">
        <f>+Tabla1[[#This Row],[STOCK  FEBRERO 2021]]-Tabla1[[#This Row],[REQUISICIONES MARZO 2021]]+Tabla1[[#This Row],[ENTRADAS MARZO 2021]]</f>
        <v>60</v>
      </c>
      <c r="W640" s="63">
        <f>+Tabla1[[#This Row],[STOCK MARZO 2021]]-Tabla1[[#This Row],[REQUISICIONES ABRIL 2021]]+Tabla1[[#This Row],[ENTRADAS ABRIL 2021]]</f>
        <v>59</v>
      </c>
      <c r="X640" s="63">
        <f>+Tabla1[[#This Row],[STOCK ABRIL 2021]]-Tabla1[[#This Row],[REQUISICIONES MAYO 2021]]+Tabla1[[#This Row],[ENTRADAS MAYO 2021]]</f>
        <v>59</v>
      </c>
      <c r="Y640" s="63">
        <f>+Tabla1[[#This Row],[STOCK MAYO 2021]]-Tabla1[[#This Row],[REQUISICIONES JUNIO 2021]]+Tabla1[[#This Row],[ENTRADAS JUNIO 2021]]</f>
        <v>59</v>
      </c>
      <c r="Z640" s="30" t="s">
        <v>12</v>
      </c>
      <c r="AA640" s="34">
        <v>65</v>
      </c>
      <c r="AB640" s="35">
        <f t="shared" si="23"/>
        <v>76.7</v>
      </c>
      <c r="AC640" s="93">
        <f>Tabla1[[#This Row],[STOCK JUNIO ]]*Tabla1[[#This Row],[COSTO UNITARIO SIN ITBIS]]</f>
        <v>3835</v>
      </c>
    </row>
    <row r="641" spans="1:29" s="8" customFormat="1" x14ac:dyDescent="0.25">
      <c r="A641" s="265">
        <v>27</v>
      </c>
      <c r="B641" s="74">
        <v>43088</v>
      </c>
      <c r="C641" s="13" t="s">
        <v>11</v>
      </c>
      <c r="D641" s="74">
        <v>43088</v>
      </c>
      <c r="E641" s="145"/>
      <c r="F641" s="13">
        <v>1499</v>
      </c>
      <c r="G641" s="75" t="s">
        <v>472</v>
      </c>
      <c r="H641" s="72">
        <v>6</v>
      </c>
      <c r="I641" s="72"/>
      <c r="J641" s="72">
        <f>+'INVENTARIO ABRIL-JUNIO 2021'!$H641-'INVENTARIO ABRIL-JUNIO 2021'!$I641</f>
        <v>6</v>
      </c>
      <c r="K641" s="72"/>
      <c r="L641" s="72"/>
      <c r="M641" s="72"/>
      <c r="N641" s="72"/>
      <c r="O641" s="296"/>
      <c r="P641" s="72"/>
      <c r="Q641" s="72">
        <v>1</v>
      </c>
      <c r="R641" s="72"/>
      <c r="S641" s="72">
        <f>2+2</f>
        <v>4</v>
      </c>
      <c r="T641" s="72"/>
      <c r="U641" s="72">
        <f>+Tabla1[[#This Row],[STOCK    FISICO ENERO 2021]]-Tabla1[[#This Row],[REQUISICIONES FEBRERO 2021]]</f>
        <v>6</v>
      </c>
      <c r="V641" s="72">
        <f>+Tabla1[[#This Row],[STOCK  FEBRERO 2021]]-Tabla1[[#This Row],[REQUISICIONES MARZO 2021]]+Tabla1[[#This Row],[ENTRADAS MARZO 2021]]</f>
        <v>5</v>
      </c>
      <c r="W641" s="72">
        <f>+Tabla1[[#This Row],[STOCK MARZO 2021]]-Tabla1[[#This Row],[REQUISICIONES ABRIL 2021]]+Tabla1[[#This Row],[ENTRADAS ABRIL 2021]]</f>
        <v>5</v>
      </c>
      <c r="X641" s="72">
        <f>+Tabla1[[#This Row],[STOCK ABRIL 2021]]-Tabla1[[#This Row],[REQUISICIONES MAYO 2021]]+Tabla1[[#This Row],[ENTRADAS MAYO 2021]]</f>
        <v>1</v>
      </c>
      <c r="Y641" s="72">
        <f>+Tabla1[[#This Row],[STOCK MAYO 2021]]-Tabla1[[#This Row],[REQUISICIONES JUNIO 2021]]+Tabla1[[#This Row],[ENTRADAS JUNIO 2021]]</f>
        <v>1</v>
      </c>
      <c r="Z641" s="73" t="s">
        <v>12</v>
      </c>
      <c r="AA641" s="76">
        <v>65</v>
      </c>
      <c r="AB641" s="35">
        <f t="shared" si="23"/>
        <v>76.7</v>
      </c>
      <c r="AC641" s="93">
        <f>Tabla1[[#This Row],[STOCK JUNIO ]]*Tabla1[[#This Row],[COSTO UNITARIO SIN ITBIS]]</f>
        <v>65</v>
      </c>
    </row>
    <row r="642" spans="1:29" s="8" customFormat="1" x14ac:dyDescent="0.25">
      <c r="A642" s="265">
        <v>28</v>
      </c>
      <c r="B642" s="74">
        <v>43664</v>
      </c>
      <c r="C642" s="13" t="s">
        <v>11</v>
      </c>
      <c r="D642" s="74">
        <v>43767</v>
      </c>
      <c r="E642" s="145"/>
      <c r="F642" s="28">
        <v>1512</v>
      </c>
      <c r="G642" s="32" t="s">
        <v>473</v>
      </c>
      <c r="H642" s="63">
        <v>4</v>
      </c>
      <c r="I642" s="63">
        <v>4</v>
      </c>
      <c r="J642" s="63">
        <f>+'INVENTARIO ABRIL-JUNIO 2021'!$H642-'INVENTARIO ABRIL-JUNIO 2021'!$I642</f>
        <v>0</v>
      </c>
      <c r="K642" s="63"/>
      <c r="L642" s="63"/>
      <c r="M642" s="63"/>
      <c r="N642" s="63"/>
      <c r="O642" s="125"/>
      <c r="P642" s="113"/>
      <c r="Q642" s="63"/>
      <c r="R642" s="63"/>
      <c r="S642" s="63"/>
      <c r="T642" s="63"/>
      <c r="U642" s="63">
        <f>+Tabla1[[#This Row],[STOCK    FISICO ENERO 2021]]-Tabla1[[#This Row],[REQUISICIONES FEBRERO 2021]]</f>
        <v>0</v>
      </c>
      <c r="V642" s="63">
        <f>+Tabla1[[#This Row],[STOCK  FEBRERO 2021]]-Tabla1[[#This Row],[REQUISICIONES MARZO 2021]]+Tabla1[[#This Row],[ENTRADAS MARZO 2021]]</f>
        <v>0</v>
      </c>
      <c r="W642" s="63">
        <f>+Tabla1[[#This Row],[STOCK MARZO 2021]]-Tabla1[[#This Row],[REQUISICIONES ABRIL 2021]]+Tabla1[[#This Row],[ENTRADAS ABRIL 2021]]</f>
        <v>0</v>
      </c>
      <c r="X642" s="63">
        <f>+Tabla1[[#This Row],[STOCK ABRIL 2021]]-Tabla1[[#This Row],[REQUISICIONES MAYO 2021]]+Tabla1[[#This Row],[ENTRADAS MAYO 2021]]</f>
        <v>0</v>
      </c>
      <c r="Y642" s="63">
        <f>+Tabla1[[#This Row],[STOCK MAYO 2021]]-Tabla1[[#This Row],[REQUISICIONES JUNIO 2021]]+Tabla1[[#This Row],[ENTRADAS JUNIO 2021]]</f>
        <v>0</v>
      </c>
      <c r="Z642" s="30" t="s">
        <v>105</v>
      </c>
      <c r="AA642" s="34">
        <v>20.34</v>
      </c>
      <c r="AB642" s="35">
        <f t="shared" si="23"/>
        <v>24.001200000000001</v>
      </c>
      <c r="AC642" s="93">
        <f>Tabla1[[#This Row],[STOCK JUNIO ]]*Tabla1[[#This Row],[COSTO UNITARIO SIN ITBIS]]</f>
        <v>0</v>
      </c>
    </row>
    <row r="643" spans="1:29" s="8" customFormat="1" x14ac:dyDescent="0.25">
      <c r="A643" s="265">
        <v>29</v>
      </c>
      <c r="B643" s="74">
        <v>43088</v>
      </c>
      <c r="C643" s="13" t="s">
        <v>11</v>
      </c>
      <c r="D643" s="74">
        <v>43088</v>
      </c>
      <c r="E643" s="145"/>
      <c r="F643" s="28"/>
      <c r="G643" s="32" t="s">
        <v>779</v>
      </c>
      <c r="H643" s="63">
        <v>16.75</v>
      </c>
      <c r="I643" s="63"/>
      <c r="J643" s="63">
        <f>+'INVENTARIO ABRIL-JUNIO 2021'!$H643-'INVENTARIO ABRIL-JUNIO 2021'!$I643+115.25+0.5</f>
        <v>132.5</v>
      </c>
      <c r="K643" s="63"/>
      <c r="L643" s="63"/>
      <c r="M643" s="63"/>
      <c r="N643" s="63"/>
      <c r="O643" s="125"/>
      <c r="P643" s="63">
        <f>1/2</f>
        <v>0.5</v>
      </c>
      <c r="Q643" s="63">
        <f>1+1</f>
        <v>2</v>
      </c>
      <c r="R643" s="63"/>
      <c r="S643" s="63">
        <v>2</v>
      </c>
      <c r="T643" s="63"/>
      <c r="U643" s="63">
        <f>+Tabla1[[#This Row],[STOCK    FISICO ENERO 2021]]-Tabla1[[#This Row],[REQUISICIONES FEBRERO 2021]]</f>
        <v>132</v>
      </c>
      <c r="V643" s="63">
        <f>+Tabla1[[#This Row],[STOCK  FEBRERO 2021]]-Tabla1[[#This Row],[REQUISICIONES MARZO 2021]]+Tabla1[[#This Row],[ENTRADAS MARZO 2021]]</f>
        <v>130</v>
      </c>
      <c r="W643" s="63">
        <f>+Tabla1[[#This Row],[STOCK MARZO 2021]]-Tabla1[[#This Row],[REQUISICIONES ABRIL 2021]]+Tabla1[[#This Row],[ENTRADAS ABRIL 2021]]</f>
        <v>130</v>
      </c>
      <c r="X643" s="63">
        <f>+Tabla1[[#This Row],[STOCK ABRIL 2021]]-Tabla1[[#This Row],[REQUISICIONES MAYO 2021]]+Tabla1[[#This Row],[ENTRADAS MAYO 2021]]</f>
        <v>128</v>
      </c>
      <c r="Y643" s="63">
        <f>+Tabla1[[#This Row],[STOCK MAYO 2021]]-Tabla1[[#This Row],[REQUISICIONES JUNIO 2021]]+Tabla1[[#This Row],[ENTRADAS JUNIO 2021]]</f>
        <v>128</v>
      </c>
      <c r="Z643" s="30" t="s">
        <v>105</v>
      </c>
      <c r="AA643" s="34">
        <f>450/(6.6)</f>
        <v>68.181818181818187</v>
      </c>
      <c r="AB643" s="35">
        <v>531</v>
      </c>
      <c r="AC643" s="93">
        <f>Tabla1[[#This Row],[STOCK JUNIO ]]*Tabla1[[#This Row],[COSTO UNITARIO SIN ITBIS]]</f>
        <v>8727.2727272727279</v>
      </c>
    </row>
    <row r="644" spans="1:29" s="8" customFormat="1" x14ac:dyDescent="0.25">
      <c r="A644" s="265">
        <v>30</v>
      </c>
      <c r="B644" s="74">
        <v>43664</v>
      </c>
      <c r="C644" s="13" t="s">
        <v>11</v>
      </c>
      <c r="D644" s="74">
        <v>43767</v>
      </c>
      <c r="E644" s="145"/>
      <c r="F644" s="28">
        <v>1511</v>
      </c>
      <c r="G644" s="32" t="s">
        <v>474</v>
      </c>
      <c r="H644" s="63">
        <v>7</v>
      </c>
      <c r="I644" s="63"/>
      <c r="J644" s="63">
        <f>+'INVENTARIO ABRIL-JUNIO 2021'!$H644-'INVENTARIO ABRIL-JUNIO 2021'!$I644</f>
        <v>7</v>
      </c>
      <c r="K644" s="63"/>
      <c r="L644" s="63"/>
      <c r="M644" s="63"/>
      <c r="N644" s="63"/>
      <c r="O644" s="125"/>
      <c r="P644" s="63"/>
      <c r="Q644" s="63"/>
      <c r="R644" s="63"/>
      <c r="S644" s="63"/>
      <c r="T644" s="63"/>
      <c r="U644" s="63">
        <f>+Tabla1[[#This Row],[STOCK    FISICO ENERO 2021]]-Tabla1[[#This Row],[REQUISICIONES FEBRERO 2021]]</f>
        <v>7</v>
      </c>
      <c r="V644" s="63">
        <f>+Tabla1[[#This Row],[STOCK  FEBRERO 2021]]-Tabla1[[#This Row],[REQUISICIONES MARZO 2021]]+Tabla1[[#This Row],[ENTRADAS MARZO 2021]]</f>
        <v>7</v>
      </c>
      <c r="W644" s="63">
        <f>+Tabla1[[#This Row],[STOCK MARZO 2021]]-Tabla1[[#This Row],[REQUISICIONES ABRIL 2021]]+Tabla1[[#This Row],[ENTRADAS ABRIL 2021]]</f>
        <v>7</v>
      </c>
      <c r="X644" s="63">
        <f>+Tabla1[[#This Row],[STOCK ABRIL 2021]]-Tabla1[[#This Row],[REQUISICIONES MAYO 2021]]+Tabla1[[#This Row],[ENTRADAS MAYO 2021]]</f>
        <v>7</v>
      </c>
      <c r="Y644" s="63">
        <f>+Tabla1[[#This Row],[STOCK MAYO 2021]]-Tabla1[[#This Row],[REQUISICIONES JUNIO 2021]]+Tabla1[[#This Row],[ENTRADAS JUNIO 2021]]</f>
        <v>7</v>
      </c>
      <c r="Z644" s="30" t="s">
        <v>105</v>
      </c>
      <c r="AA644" s="34">
        <v>20.34</v>
      </c>
      <c r="AB644" s="35">
        <f>AA644*0.18+AA644</f>
        <v>24.001200000000001</v>
      </c>
      <c r="AC644" s="93">
        <f>Tabla1[[#This Row],[STOCK JUNIO ]]*Tabla1[[#This Row],[COSTO UNITARIO SIN ITBIS]]</f>
        <v>142.38</v>
      </c>
    </row>
    <row r="645" spans="1:29" s="8" customFormat="1" x14ac:dyDescent="0.25">
      <c r="A645" s="265">
        <v>31</v>
      </c>
      <c r="B645" s="31">
        <v>44026</v>
      </c>
      <c r="C645" s="28" t="s">
        <v>11</v>
      </c>
      <c r="D645" s="31">
        <v>44026</v>
      </c>
      <c r="E645" s="137"/>
      <c r="F645" s="28"/>
      <c r="G645" s="32" t="s">
        <v>777</v>
      </c>
      <c r="H645" s="63">
        <v>20</v>
      </c>
      <c r="I645" s="63"/>
      <c r="J645" s="63">
        <f>+'INVENTARIO ABRIL-JUNIO 2021'!$H645-'INVENTARIO ABRIL-JUNIO 2021'!$I645+112</f>
        <v>132</v>
      </c>
      <c r="K645" s="63"/>
      <c r="L645" s="63"/>
      <c r="M645" s="63"/>
      <c r="N645" s="63"/>
      <c r="O645" s="125"/>
      <c r="P645" s="63"/>
      <c r="Q645" s="63"/>
      <c r="R645" s="63"/>
      <c r="S645" s="63"/>
      <c r="T645" s="63"/>
      <c r="U645" s="63">
        <f>+Tabla1[[#This Row],[STOCK    FISICO ENERO 2021]]-Tabla1[[#This Row],[REQUISICIONES FEBRERO 2021]]</f>
        <v>132</v>
      </c>
      <c r="V645" s="63">
        <f>+Tabla1[[#This Row],[STOCK  FEBRERO 2021]]-Tabla1[[#This Row],[REQUISICIONES MARZO 2021]]+Tabla1[[#This Row],[ENTRADAS MARZO 2021]]</f>
        <v>132</v>
      </c>
      <c r="W645" s="63">
        <f>+Tabla1[[#This Row],[STOCK MARZO 2021]]-Tabla1[[#This Row],[REQUISICIONES ABRIL 2021]]+Tabla1[[#This Row],[ENTRADAS ABRIL 2021]]</f>
        <v>132</v>
      </c>
      <c r="X645" s="63">
        <f>+Tabla1[[#This Row],[STOCK ABRIL 2021]]-Tabla1[[#This Row],[REQUISICIONES MAYO 2021]]+Tabla1[[#This Row],[ENTRADAS MAYO 2021]]</f>
        <v>132</v>
      </c>
      <c r="Y645" s="63">
        <f>+Tabla1[[#This Row],[STOCK MAYO 2021]]-Tabla1[[#This Row],[REQUISICIONES JUNIO 2021]]+Tabla1[[#This Row],[ENTRADAS JUNIO 2021]]</f>
        <v>132</v>
      </c>
      <c r="Z645" s="30" t="s">
        <v>105</v>
      </c>
      <c r="AA645" s="34">
        <f>450/(6.6)</f>
        <v>68.181818181818187</v>
      </c>
      <c r="AB645" s="35">
        <v>531</v>
      </c>
      <c r="AC645" s="93">
        <f>Tabla1[[#This Row],[STOCK JUNIO ]]*Tabla1[[#This Row],[COSTO UNITARIO SIN ITBIS]]</f>
        <v>9000</v>
      </c>
    </row>
    <row r="646" spans="1:29" s="8" customFormat="1" x14ac:dyDescent="0.25">
      <c r="A646" s="265">
        <v>32</v>
      </c>
      <c r="B646" s="74">
        <v>44109</v>
      </c>
      <c r="C646" s="13" t="s">
        <v>11</v>
      </c>
      <c r="D646" s="74">
        <v>44109</v>
      </c>
      <c r="E646" s="145"/>
      <c r="F646" s="28"/>
      <c r="G646" s="32" t="s">
        <v>778</v>
      </c>
      <c r="H646" s="63">
        <v>30</v>
      </c>
      <c r="I646" s="63"/>
      <c r="J646" s="63">
        <f>+'INVENTARIO ABRIL-JUNIO 2021'!$H646-'INVENTARIO ABRIL-JUNIO 2021'!$I646+168</f>
        <v>198</v>
      </c>
      <c r="K646" s="63"/>
      <c r="L646" s="63"/>
      <c r="M646" s="63"/>
      <c r="N646" s="63"/>
      <c r="O646" s="125"/>
      <c r="P646" s="63"/>
      <c r="Q646" s="63"/>
      <c r="R646" s="63"/>
      <c r="S646" s="63"/>
      <c r="T646" s="63"/>
      <c r="U646" s="63">
        <f>+Tabla1[[#This Row],[STOCK    FISICO ENERO 2021]]-Tabla1[[#This Row],[REQUISICIONES FEBRERO 2021]]</f>
        <v>198</v>
      </c>
      <c r="V646" s="63">
        <f>+Tabla1[[#This Row],[STOCK  FEBRERO 2021]]-Tabla1[[#This Row],[REQUISICIONES MARZO 2021]]+Tabla1[[#This Row],[ENTRADAS MARZO 2021]]</f>
        <v>198</v>
      </c>
      <c r="W646" s="63">
        <f>+Tabla1[[#This Row],[STOCK MARZO 2021]]-Tabla1[[#This Row],[REQUISICIONES ABRIL 2021]]+Tabla1[[#This Row],[ENTRADAS ABRIL 2021]]</f>
        <v>198</v>
      </c>
      <c r="X646" s="63">
        <f>+Tabla1[[#This Row],[STOCK ABRIL 2021]]-Tabla1[[#This Row],[REQUISICIONES MAYO 2021]]+Tabla1[[#This Row],[ENTRADAS MAYO 2021]]</f>
        <v>198</v>
      </c>
      <c r="Y646" s="63">
        <f>+Tabla1[[#This Row],[STOCK MAYO 2021]]-Tabla1[[#This Row],[REQUISICIONES JUNIO 2021]]+Tabla1[[#This Row],[ENTRADAS JUNIO 2021]]</f>
        <v>198</v>
      </c>
      <c r="Z646" s="30" t="s">
        <v>105</v>
      </c>
      <c r="AA646" s="34">
        <f>450/(6.6)</f>
        <v>68.181818181818187</v>
      </c>
      <c r="AB646" s="35">
        <f t="shared" ref="AB646:AB663" si="24">AA646*0.18+AA646</f>
        <v>80.454545454545467</v>
      </c>
      <c r="AC646" s="93">
        <f>Tabla1[[#This Row],[STOCK JUNIO ]]*Tabla1[[#This Row],[COSTO UNITARIO SIN ITBIS]]</f>
        <v>13500.000000000002</v>
      </c>
    </row>
    <row r="647" spans="1:29" s="8" customFormat="1" x14ac:dyDescent="0.25">
      <c r="A647" s="265">
        <v>33</v>
      </c>
      <c r="B647" s="31">
        <v>44026</v>
      </c>
      <c r="C647" s="28" t="s">
        <v>11</v>
      </c>
      <c r="D647" s="31">
        <v>44026</v>
      </c>
      <c r="E647" s="137"/>
      <c r="F647" s="28">
        <v>1593</v>
      </c>
      <c r="G647" s="32" t="s">
        <v>475</v>
      </c>
      <c r="H647" s="63">
        <v>1</v>
      </c>
      <c r="I647" s="63"/>
      <c r="J647" s="63">
        <f>+'INVENTARIO ABRIL-JUNIO 2021'!$H647-'INVENTARIO ABRIL-JUNIO 2021'!$I647</f>
        <v>1</v>
      </c>
      <c r="K647" s="63"/>
      <c r="L647" s="63"/>
      <c r="M647" s="63"/>
      <c r="N647" s="63"/>
      <c r="O647" s="125"/>
      <c r="P647" s="63"/>
      <c r="Q647" s="63"/>
      <c r="R647" s="63"/>
      <c r="S647" s="63"/>
      <c r="T647" s="63"/>
      <c r="U647" s="63">
        <f>+Tabla1[[#This Row],[STOCK    FISICO ENERO 2021]]-Tabla1[[#This Row],[REQUISICIONES FEBRERO 2021]]</f>
        <v>1</v>
      </c>
      <c r="V647" s="63">
        <f>+Tabla1[[#This Row],[STOCK  FEBRERO 2021]]-Tabla1[[#This Row],[REQUISICIONES MARZO 2021]]+Tabla1[[#This Row],[ENTRADAS MARZO 2021]]</f>
        <v>1</v>
      </c>
      <c r="W647" s="63">
        <f>+Tabla1[[#This Row],[STOCK MARZO 2021]]-Tabla1[[#This Row],[REQUISICIONES ABRIL 2021]]+Tabla1[[#This Row],[ENTRADAS ABRIL 2021]]</f>
        <v>1</v>
      </c>
      <c r="X647" s="63">
        <f>+Tabla1[[#This Row],[STOCK ABRIL 2021]]-Tabla1[[#This Row],[REQUISICIONES MAYO 2021]]+Tabla1[[#This Row],[ENTRADAS MAYO 2021]]</f>
        <v>1</v>
      </c>
      <c r="Y647" s="63">
        <f>+Tabla1[[#This Row],[STOCK MAYO 2021]]-Tabla1[[#This Row],[REQUISICIONES JUNIO 2021]]+Tabla1[[#This Row],[ENTRADAS JUNIO 2021]]</f>
        <v>1</v>
      </c>
      <c r="Z647" s="30" t="s">
        <v>105</v>
      </c>
      <c r="AA647" s="34">
        <v>91.53</v>
      </c>
      <c r="AB647" s="35">
        <f t="shared" si="24"/>
        <v>108.00540000000001</v>
      </c>
      <c r="AC647" s="93">
        <f>Tabla1[[#This Row],[STOCK JUNIO ]]*Tabla1[[#This Row],[COSTO UNITARIO SIN ITBIS]]</f>
        <v>91.53</v>
      </c>
    </row>
    <row r="648" spans="1:29" s="8" customFormat="1" x14ac:dyDescent="0.25">
      <c r="A648" s="265">
        <v>34</v>
      </c>
      <c r="B648" s="31">
        <v>44026</v>
      </c>
      <c r="C648" s="28" t="s">
        <v>11</v>
      </c>
      <c r="D648" s="31">
        <v>44026</v>
      </c>
      <c r="E648" s="137"/>
      <c r="F648" s="13">
        <v>1169</v>
      </c>
      <c r="G648" s="75" t="s">
        <v>476</v>
      </c>
      <c r="H648" s="72">
        <v>13</v>
      </c>
      <c r="I648" s="72"/>
      <c r="J648" s="72">
        <f>+'INVENTARIO ABRIL-JUNIO 2021'!$H648-'INVENTARIO ABRIL-JUNIO 2021'!$I648</f>
        <v>13</v>
      </c>
      <c r="K648" s="72"/>
      <c r="L648" s="72"/>
      <c r="M648" s="72"/>
      <c r="N648" s="72"/>
      <c r="O648" s="296"/>
      <c r="P648" s="72"/>
      <c r="Q648" s="72">
        <v>2</v>
      </c>
      <c r="R648" s="72"/>
      <c r="S648" s="72"/>
      <c r="T648" s="72"/>
      <c r="U648" s="72">
        <f>+Tabla1[[#This Row],[STOCK    FISICO ENERO 2021]]-Tabla1[[#This Row],[REQUISICIONES FEBRERO 2021]]</f>
        <v>13</v>
      </c>
      <c r="V648" s="72">
        <f>+Tabla1[[#This Row],[STOCK  FEBRERO 2021]]-Tabla1[[#This Row],[REQUISICIONES MARZO 2021]]+Tabla1[[#This Row],[ENTRADAS MARZO 2021]]</f>
        <v>11</v>
      </c>
      <c r="W648" s="72">
        <f>+Tabla1[[#This Row],[STOCK MARZO 2021]]-Tabla1[[#This Row],[REQUISICIONES ABRIL 2021]]+Tabla1[[#This Row],[ENTRADAS ABRIL 2021]]</f>
        <v>11</v>
      </c>
      <c r="X648" s="72">
        <f>+Tabla1[[#This Row],[STOCK ABRIL 2021]]-Tabla1[[#This Row],[REQUISICIONES MAYO 2021]]+Tabla1[[#This Row],[ENTRADAS MAYO 2021]]</f>
        <v>11</v>
      </c>
      <c r="Y648" s="72">
        <f>+Tabla1[[#This Row],[STOCK MAYO 2021]]-Tabla1[[#This Row],[REQUISICIONES JUNIO 2021]]+Tabla1[[#This Row],[ENTRADAS JUNIO 2021]]</f>
        <v>11</v>
      </c>
      <c r="Z648" s="73" t="s">
        <v>12</v>
      </c>
      <c r="AA648" s="76">
        <v>650</v>
      </c>
      <c r="AB648" s="35">
        <f t="shared" si="24"/>
        <v>767</v>
      </c>
      <c r="AC648" s="93">
        <f>Tabla1[[#This Row],[STOCK JUNIO ]]*Tabla1[[#This Row],[COSTO UNITARIO SIN ITBIS]]</f>
        <v>7150</v>
      </c>
    </row>
    <row r="649" spans="1:29" s="8" customFormat="1" x14ac:dyDescent="0.25">
      <c r="A649" s="265">
        <v>35</v>
      </c>
      <c r="B649" s="74">
        <v>42991</v>
      </c>
      <c r="C649" s="13" t="s">
        <v>11</v>
      </c>
      <c r="D649" s="74">
        <v>42991</v>
      </c>
      <c r="E649" s="145"/>
      <c r="F649" s="28" t="s">
        <v>20</v>
      </c>
      <c r="G649" s="32" t="s">
        <v>477</v>
      </c>
      <c r="H649" s="63">
        <v>4</v>
      </c>
      <c r="I649" s="63">
        <v>3</v>
      </c>
      <c r="J649" s="63">
        <f>+'INVENTARIO ABRIL-JUNIO 2021'!$H649-'INVENTARIO ABRIL-JUNIO 2021'!$I649+3</f>
        <v>4</v>
      </c>
      <c r="K649" s="63"/>
      <c r="L649" s="63"/>
      <c r="M649" s="63"/>
      <c r="N649" s="63"/>
      <c r="O649" s="125"/>
      <c r="P649" s="63">
        <v>1</v>
      </c>
      <c r="Q649" s="63">
        <v>2</v>
      </c>
      <c r="R649" s="63"/>
      <c r="S649" s="63"/>
      <c r="T649" s="63"/>
      <c r="U649" s="63">
        <f>+Tabla1[[#This Row],[STOCK    FISICO ENERO 2021]]-Tabla1[[#This Row],[REQUISICIONES FEBRERO 2021]]</f>
        <v>3</v>
      </c>
      <c r="V649" s="63">
        <f>+Tabla1[[#This Row],[STOCK  FEBRERO 2021]]-Tabla1[[#This Row],[REQUISICIONES MARZO 2021]]+Tabla1[[#This Row],[ENTRADAS MARZO 2021]]</f>
        <v>1</v>
      </c>
      <c r="W649" s="63">
        <f>+Tabla1[[#This Row],[STOCK MARZO 2021]]-Tabla1[[#This Row],[REQUISICIONES ABRIL 2021]]+Tabla1[[#This Row],[ENTRADAS ABRIL 2021]]</f>
        <v>1</v>
      </c>
      <c r="X649" s="63">
        <f>+Tabla1[[#This Row],[STOCK ABRIL 2021]]-Tabla1[[#This Row],[REQUISICIONES MAYO 2021]]+Tabla1[[#This Row],[ENTRADAS MAYO 2021]]</f>
        <v>1</v>
      </c>
      <c r="Y649" s="63">
        <f>+Tabla1[[#This Row],[STOCK MAYO 2021]]-Tabla1[[#This Row],[REQUISICIONES JUNIO 2021]]+Tabla1[[#This Row],[ENTRADAS JUNIO 2021]]</f>
        <v>1</v>
      </c>
      <c r="Z649" s="30" t="s">
        <v>722</v>
      </c>
      <c r="AA649" s="34">
        <v>0</v>
      </c>
      <c r="AB649" s="35">
        <f t="shared" si="24"/>
        <v>0</v>
      </c>
      <c r="AC649" s="93">
        <f>Tabla1[[#This Row],[STOCK JUNIO ]]*Tabla1[[#This Row],[COSTO UNITARIO SIN ITBIS]]</f>
        <v>0</v>
      </c>
    </row>
    <row r="650" spans="1:29" s="8" customFormat="1" x14ac:dyDescent="0.25">
      <c r="A650" s="265">
        <v>36</v>
      </c>
      <c r="B650" s="31">
        <v>44109</v>
      </c>
      <c r="C650" s="28" t="s">
        <v>11</v>
      </c>
      <c r="D650" s="31">
        <v>44109</v>
      </c>
      <c r="E650" s="137"/>
      <c r="F650" s="13">
        <v>1590</v>
      </c>
      <c r="G650" s="75" t="s">
        <v>478</v>
      </c>
      <c r="H650" s="72">
        <v>9</v>
      </c>
      <c r="I650" s="72">
        <v>1</v>
      </c>
      <c r="J650" s="72">
        <f>+'INVENTARIO ABRIL-JUNIO 2021'!$H650-'INVENTARIO ABRIL-JUNIO 2021'!$I650</f>
        <v>8</v>
      </c>
      <c r="K650" s="72"/>
      <c r="L650" s="72"/>
      <c r="M650" s="72"/>
      <c r="N650" s="72"/>
      <c r="O650" s="296"/>
      <c r="P650" s="72">
        <f>1+1</f>
        <v>2</v>
      </c>
      <c r="Q650" s="72"/>
      <c r="R650" s="72">
        <v>5</v>
      </c>
      <c r="S650" s="72"/>
      <c r="T650" s="72"/>
      <c r="U650" s="72">
        <f>+Tabla1[[#This Row],[STOCK    FISICO ENERO 2021]]-Tabla1[[#This Row],[REQUISICIONES FEBRERO 2021]]</f>
        <v>6</v>
      </c>
      <c r="V650" s="72">
        <f>+Tabla1[[#This Row],[STOCK  FEBRERO 2021]]-Tabla1[[#This Row],[REQUISICIONES MARZO 2021]]+Tabla1[[#This Row],[ENTRADAS MARZO 2021]]</f>
        <v>6</v>
      </c>
      <c r="W650" s="72">
        <f>+Tabla1[[#This Row],[STOCK MARZO 2021]]-Tabla1[[#This Row],[REQUISICIONES ABRIL 2021]]+Tabla1[[#This Row],[ENTRADAS ABRIL 2021]]</f>
        <v>1</v>
      </c>
      <c r="X650" s="72">
        <f>+Tabla1[[#This Row],[STOCK ABRIL 2021]]-Tabla1[[#This Row],[REQUISICIONES MAYO 2021]]+Tabla1[[#This Row],[ENTRADAS MAYO 2021]]</f>
        <v>1</v>
      </c>
      <c r="Y650" s="72">
        <f>+Tabla1[[#This Row],[STOCK MAYO 2021]]-Tabla1[[#This Row],[REQUISICIONES JUNIO 2021]]+Tabla1[[#This Row],[ENTRADAS JUNIO 2021]]</f>
        <v>1</v>
      </c>
      <c r="Z650" s="73" t="s">
        <v>105</v>
      </c>
      <c r="AA650" s="76">
        <v>40.68</v>
      </c>
      <c r="AB650" s="35">
        <f t="shared" si="24"/>
        <v>48.002400000000002</v>
      </c>
      <c r="AC650" s="93">
        <f>Tabla1[[#This Row],[STOCK JUNIO ]]*Tabla1[[#This Row],[COSTO UNITARIO SIN ITBIS]]</f>
        <v>40.68</v>
      </c>
    </row>
    <row r="651" spans="1:29" s="8" customFormat="1" x14ac:dyDescent="0.25">
      <c r="A651" s="265">
        <v>37</v>
      </c>
      <c r="B651" s="31">
        <v>44026</v>
      </c>
      <c r="C651" s="28" t="s">
        <v>11</v>
      </c>
      <c r="D651" s="31">
        <v>44026</v>
      </c>
      <c r="E651" s="137"/>
      <c r="F651" s="28">
        <v>1141</v>
      </c>
      <c r="G651" s="32" t="s">
        <v>479</v>
      </c>
      <c r="H651" s="63">
        <v>12</v>
      </c>
      <c r="I651" s="63"/>
      <c r="J651" s="63">
        <f>+'INVENTARIO ABRIL-JUNIO 2021'!$H651-'INVENTARIO ABRIL-JUNIO 2021'!$I651</f>
        <v>12</v>
      </c>
      <c r="K651" s="63"/>
      <c r="L651" s="63"/>
      <c r="M651" s="63"/>
      <c r="N651" s="63"/>
      <c r="O651" s="125"/>
      <c r="P651" s="63"/>
      <c r="Q651" s="63">
        <v>1</v>
      </c>
      <c r="R651" s="63">
        <f>1+1+1</f>
        <v>3</v>
      </c>
      <c r="S651" s="63"/>
      <c r="T651" s="63"/>
      <c r="U651" s="63">
        <f>+Tabla1[[#This Row],[STOCK    FISICO ENERO 2021]]-Tabla1[[#This Row],[REQUISICIONES FEBRERO 2021]]</f>
        <v>12</v>
      </c>
      <c r="V651" s="63">
        <f>+Tabla1[[#This Row],[STOCK  FEBRERO 2021]]-Tabla1[[#This Row],[REQUISICIONES MARZO 2021]]+Tabla1[[#This Row],[ENTRADAS MARZO 2021]]</f>
        <v>11</v>
      </c>
      <c r="W651" s="63">
        <f>+Tabla1[[#This Row],[STOCK MARZO 2021]]-Tabla1[[#This Row],[REQUISICIONES ABRIL 2021]]+Tabla1[[#This Row],[ENTRADAS ABRIL 2021]]</f>
        <v>8</v>
      </c>
      <c r="X651" s="63">
        <f>+Tabla1[[#This Row],[STOCK ABRIL 2021]]-Tabla1[[#This Row],[REQUISICIONES MAYO 2021]]+Tabla1[[#This Row],[ENTRADAS MAYO 2021]]</f>
        <v>8</v>
      </c>
      <c r="Y651" s="63">
        <f>+Tabla1[[#This Row],[STOCK MAYO 2021]]-Tabla1[[#This Row],[REQUISICIONES JUNIO 2021]]+Tabla1[[#This Row],[ENTRADAS JUNIO 2021]]</f>
        <v>8</v>
      </c>
      <c r="Z651" s="30" t="s">
        <v>12</v>
      </c>
      <c r="AA651" s="34">
        <v>450</v>
      </c>
      <c r="AB651" s="35">
        <f t="shared" si="24"/>
        <v>531</v>
      </c>
      <c r="AC651" s="93">
        <f>Tabla1[[#This Row],[STOCK JUNIO ]]*Tabla1[[#This Row],[COSTO UNITARIO SIN ITBIS]]</f>
        <v>3600</v>
      </c>
    </row>
    <row r="652" spans="1:29" s="8" customFormat="1" x14ac:dyDescent="0.25">
      <c r="A652" s="265">
        <v>38</v>
      </c>
      <c r="B652" s="31">
        <v>42991</v>
      </c>
      <c r="C652" s="28" t="s">
        <v>11</v>
      </c>
      <c r="D652" s="31">
        <v>42991</v>
      </c>
      <c r="E652" s="137"/>
      <c r="F652" s="28">
        <v>1143</v>
      </c>
      <c r="G652" s="32" t="s">
        <v>480</v>
      </c>
      <c r="H652" s="63">
        <v>8</v>
      </c>
      <c r="I652" s="63"/>
      <c r="J652" s="63">
        <f>+'INVENTARIO ABRIL-JUNIO 2021'!$H652-'INVENTARIO ABRIL-JUNIO 2021'!$I652</f>
        <v>8</v>
      </c>
      <c r="K652" s="63"/>
      <c r="L652" s="63"/>
      <c r="M652" s="63"/>
      <c r="N652" s="63"/>
      <c r="O652" s="125"/>
      <c r="P652" s="63"/>
      <c r="Q652" s="63"/>
      <c r="R652" s="63"/>
      <c r="S652" s="63"/>
      <c r="T652" s="63"/>
      <c r="U652" s="63">
        <f>+Tabla1[[#This Row],[STOCK    FISICO ENERO 2021]]-Tabla1[[#This Row],[REQUISICIONES FEBRERO 2021]]</f>
        <v>8</v>
      </c>
      <c r="V652" s="63">
        <f>+Tabla1[[#This Row],[STOCK  FEBRERO 2021]]-Tabla1[[#This Row],[REQUISICIONES MARZO 2021]]+Tabla1[[#This Row],[ENTRADAS MARZO 2021]]</f>
        <v>8</v>
      </c>
      <c r="W652" s="63">
        <f>+Tabla1[[#This Row],[STOCK MARZO 2021]]-Tabla1[[#This Row],[REQUISICIONES ABRIL 2021]]+Tabla1[[#This Row],[ENTRADAS ABRIL 2021]]</f>
        <v>8</v>
      </c>
      <c r="X652" s="63">
        <f>+Tabla1[[#This Row],[STOCK ABRIL 2021]]-Tabla1[[#This Row],[REQUISICIONES MAYO 2021]]+Tabla1[[#This Row],[ENTRADAS MAYO 2021]]</f>
        <v>8</v>
      </c>
      <c r="Y652" s="63">
        <f>+Tabla1[[#This Row],[STOCK MAYO 2021]]-Tabla1[[#This Row],[REQUISICIONES JUNIO 2021]]+Tabla1[[#This Row],[ENTRADAS JUNIO 2021]]</f>
        <v>8</v>
      </c>
      <c r="Z652" s="30" t="s">
        <v>12</v>
      </c>
      <c r="AA652" s="34">
        <v>450</v>
      </c>
      <c r="AB652" s="35">
        <f t="shared" si="24"/>
        <v>531</v>
      </c>
      <c r="AC652" s="93">
        <f>Tabla1[[#This Row],[STOCK JUNIO ]]*Tabla1[[#This Row],[COSTO UNITARIO SIN ITBIS]]</f>
        <v>3600</v>
      </c>
    </row>
    <row r="653" spans="1:29" s="8" customFormat="1" x14ac:dyDescent="0.25">
      <c r="A653" s="265">
        <v>39</v>
      </c>
      <c r="B653" s="31">
        <v>42991</v>
      </c>
      <c r="C653" s="28" t="s">
        <v>11</v>
      </c>
      <c r="D653" s="31">
        <v>42991</v>
      </c>
      <c r="E653" s="137"/>
      <c r="F653" s="13">
        <v>1142</v>
      </c>
      <c r="G653" s="75" t="s">
        <v>481</v>
      </c>
      <c r="H653" s="72">
        <v>12</v>
      </c>
      <c r="I653" s="72"/>
      <c r="J653" s="72">
        <f>+'INVENTARIO ABRIL-JUNIO 2021'!$H653-'INVENTARIO ABRIL-JUNIO 2021'!$I653</f>
        <v>12</v>
      </c>
      <c r="K653" s="72"/>
      <c r="L653" s="72"/>
      <c r="M653" s="72"/>
      <c r="N653" s="72"/>
      <c r="O653" s="296"/>
      <c r="P653" s="72"/>
      <c r="Q653" s="72">
        <v>1</v>
      </c>
      <c r="R653" s="72">
        <f>1+1</f>
        <v>2</v>
      </c>
      <c r="S653" s="72"/>
      <c r="T653" s="72"/>
      <c r="U653" s="72">
        <f>+Tabla1[[#This Row],[STOCK    FISICO ENERO 2021]]-Tabla1[[#This Row],[REQUISICIONES FEBRERO 2021]]</f>
        <v>12</v>
      </c>
      <c r="V653" s="72">
        <f>+Tabla1[[#This Row],[STOCK  FEBRERO 2021]]-Tabla1[[#This Row],[REQUISICIONES MARZO 2021]]+Tabla1[[#This Row],[ENTRADAS MARZO 2021]]</f>
        <v>11</v>
      </c>
      <c r="W653" s="72">
        <f>+Tabla1[[#This Row],[STOCK MARZO 2021]]-Tabla1[[#This Row],[REQUISICIONES ABRIL 2021]]+Tabla1[[#This Row],[ENTRADAS ABRIL 2021]]</f>
        <v>9</v>
      </c>
      <c r="X653" s="72">
        <f>+Tabla1[[#This Row],[STOCK ABRIL 2021]]-Tabla1[[#This Row],[REQUISICIONES MAYO 2021]]+Tabla1[[#This Row],[ENTRADAS MAYO 2021]]</f>
        <v>9</v>
      </c>
      <c r="Y653" s="72">
        <f>+Tabla1[[#This Row],[STOCK MAYO 2021]]-Tabla1[[#This Row],[REQUISICIONES JUNIO 2021]]+Tabla1[[#This Row],[ENTRADAS JUNIO 2021]]</f>
        <v>9</v>
      </c>
      <c r="Z653" s="73" t="s">
        <v>12</v>
      </c>
      <c r="AA653" s="76">
        <v>450</v>
      </c>
      <c r="AB653" s="35">
        <f t="shared" si="24"/>
        <v>531</v>
      </c>
      <c r="AC653" s="93">
        <f>Tabla1[[#This Row],[STOCK JUNIO ]]*Tabla1[[#This Row],[COSTO UNITARIO SIN ITBIS]]</f>
        <v>4050</v>
      </c>
    </row>
    <row r="654" spans="1:29" s="8" customFormat="1" x14ac:dyDescent="0.25">
      <c r="A654" s="265">
        <v>40</v>
      </c>
      <c r="B654" s="74">
        <v>42991</v>
      </c>
      <c r="C654" s="13" t="s">
        <v>11</v>
      </c>
      <c r="D654" s="74">
        <v>42991</v>
      </c>
      <c r="E654" s="145"/>
      <c r="F654" s="13">
        <v>1312</v>
      </c>
      <c r="G654" s="75" t="s">
        <v>482</v>
      </c>
      <c r="H654" s="72">
        <v>0</v>
      </c>
      <c r="I654" s="72"/>
      <c r="J654" s="72">
        <f>+'INVENTARIO ABRIL-JUNIO 2021'!$H654-'INVENTARIO ABRIL-JUNIO 2021'!$I654</f>
        <v>0</v>
      </c>
      <c r="K654" s="72"/>
      <c r="L654" s="72"/>
      <c r="M654" s="72"/>
      <c r="N654" s="72"/>
      <c r="O654" s="296"/>
      <c r="P654" s="72"/>
      <c r="Q654" s="72"/>
      <c r="R654" s="72"/>
      <c r="S654" s="72"/>
      <c r="T654" s="72"/>
      <c r="U654" s="72">
        <f>+Tabla1[[#This Row],[STOCK    FISICO ENERO 2021]]-Tabla1[[#This Row],[REQUISICIONES FEBRERO 2021]]</f>
        <v>0</v>
      </c>
      <c r="V654" s="72">
        <f>+Tabla1[[#This Row],[STOCK  FEBRERO 2021]]-Tabla1[[#This Row],[REQUISICIONES MARZO 2021]]+Tabla1[[#This Row],[ENTRADAS MARZO 2021]]</f>
        <v>0</v>
      </c>
      <c r="W654" s="72">
        <f>+Tabla1[[#This Row],[STOCK MARZO 2021]]-Tabla1[[#This Row],[REQUISICIONES ABRIL 2021]]+Tabla1[[#This Row],[ENTRADAS ABRIL 2021]]</f>
        <v>0</v>
      </c>
      <c r="X654" s="72">
        <f>+Tabla1[[#This Row],[STOCK ABRIL 2021]]-Tabla1[[#This Row],[REQUISICIONES MAYO 2021]]+Tabla1[[#This Row],[ENTRADAS MAYO 2021]]</f>
        <v>0</v>
      </c>
      <c r="Y654" s="72">
        <f>+Tabla1[[#This Row],[STOCK MAYO 2021]]-Tabla1[[#This Row],[REQUISICIONES JUNIO 2021]]+Tabla1[[#This Row],[ENTRADAS JUNIO 2021]]</f>
        <v>0</v>
      </c>
      <c r="Z654" s="30" t="s">
        <v>170</v>
      </c>
      <c r="AA654" s="76">
        <v>1065</v>
      </c>
      <c r="AB654" s="35">
        <f t="shared" si="24"/>
        <v>1256.7</v>
      </c>
      <c r="AC654" s="93">
        <f>Tabla1[[#This Row],[STOCK JUNIO ]]*Tabla1[[#This Row],[COSTO UNITARIO SIN ITBIS]]</f>
        <v>0</v>
      </c>
    </row>
    <row r="655" spans="1:29" s="8" customFormat="1" x14ac:dyDescent="0.25">
      <c r="A655" s="265">
        <v>41</v>
      </c>
      <c r="B655" s="74">
        <v>44168</v>
      </c>
      <c r="C655" s="13" t="s">
        <v>11</v>
      </c>
      <c r="D655" s="74">
        <v>44154</v>
      </c>
      <c r="E655" s="145"/>
      <c r="F655" s="13">
        <v>1156</v>
      </c>
      <c r="G655" s="75" t="s">
        <v>483</v>
      </c>
      <c r="H655" s="72">
        <v>35</v>
      </c>
      <c r="I655" s="72">
        <v>4</v>
      </c>
      <c r="J655" s="72">
        <f>+'INVENTARIO ABRIL-JUNIO 2021'!$H655-'INVENTARIO ABRIL-JUNIO 2021'!$I655</f>
        <v>31</v>
      </c>
      <c r="K655" s="72"/>
      <c r="L655" s="72"/>
      <c r="M655" s="72"/>
      <c r="N655" s="72"/>
      <c r="O655" s="296"/>
      <c r="P655" s="72">
        <f>1+1+2+4</f>
        <v>8</v>
      </c>
      <c r="Q655" s="72">
        <f>4+1+1+1+3+1+1+2</f>
        <v>14</v>
      </c>
      <c r="R655" s="72">
        <v>8</v>
      </c>
      <c r="S655" s="72"/>
      <c r="T655" s="72"/>
      <c r="U655" s="72">
        <f>+Tabla1[[#This Row],[STOCK    FISICO ENERO 2021]]-Tabla1[[#This Row],[REQUISICIONES FEBRERO 2021]]</f>
        <v>23</v>
      </c>
      <c r="V655" s="72">
        <f>+Tabla1[[#This Row],[STOCK  FEBRERO 2021]]-Tabla1[[#This Row],[REQUISICIONES MARZO 2021]]+Tabla1[[#This Row],[ENTRADAS MARZO 2021]]</f>
        <v>9</v>
      </c>
      <c r="W655" s="72">
        <f>+Tabla1[[#This Row],[STOCK MARZO 2021]]-Tabla1[[#This Row],[REQUISICIONES ABRIL 2021]]+Tabla1[[#This Row],[ENTRADAS ABRIL 2021]]</f>
        <v>1</v>
      </c>
      <c r="X655" s="72">
        <f>+Tabla1[[#This Row],[STOCK ABRIL 2021]]-Tabla1[[#This Row],[REQUISICIONES MAYO 2021]]+Tabla1[[#This Row],[ENTRADAS MAYO 2021]]</f>
        <v>1</v>
      </c>
      <c r="Y655" s="72">
        <f>+Tabla1[[#This Row],[STOCK MAYO 2021]]-Tabla1[[#This Row],[REQUISICIONES JUNIO 2021]]+Tabla1[[#This Row],[ENTRADAS JUNIO 2021]]</f>
        <v>1</v>
      </c>
      <c r="Z655" s="30" t="s">
        <v>170</v>
      </c>
      <c r="AA655" s="76">
        <v>1065</v>
      </c>
      <c r="AB655" s="35">
        <f t="shared" si="24"/>
        <v>1256.7</v>
      </c>
      <c r="AC655" s="93">
        <f>Tabla1[[#This Row],[STOCK JUNIO ]]*Tabla1[[#This Row],[COSTO UNITARIO SIN ITBIS]]</f>
        <v>1065</v>
      </c>
    </row>
    <row r="656" spans="1:29" s="8" customFormat="1" x14ac:dyDescent="0.25">
      <c r="A656" s="265">
        <v>42</v>
      </c>
      <c r="B656" s="31">
        <v>44168</v>
      </c>
      <c r="C656" s="28" t="s">
        <v>11</v>
      </c>
      <c r="D656" s="31">
        <v>44148</v>
      </c>
      <c r="E656" s="137"/>
      <c r="F656" s="28">
        <v>1155</v>
      </c>
      <c r="G656" s="32" t="s">
        <v>484</v>
      </c>
      <c r="H656" s="63">
        <v>5</v>
      </c>
      <c r="I656" s="63"/>
      <c r="J656" s="63">
        <f>+'INVENTARIO ABRIL-JUNIO 2021'!$H656-'INVENTARIO ABRIL-JUNIO 2021'!$I656</f>
        <v>5</v>
      </c>
      <c r="K656" s="63"/>
      <c r="L656" s="63"/>
      <c r="M656" s="63"/>
      <c r="N656" s="63"/>
      <c r="O656" s="125"/>
      <c r="P656" s="63"/>
      <c r="Q656" s="63"/>
      <c r="R656" s="63"/>
      <c r="S656" s="63"/>
      <c r="T656" s="63"/>
      <c r="U656" s="63">
        <f>+Tabla1[[#This Row],[STOCK    FISICO ENERO 2021]]-Tabla1[[#This Row],[REQUISICIONES FEBRERO 2021]]</f>
        <v>5</v>
      </c>
      <c r="V656" s="63">
        <f>+Tabla1[[#This Row],[STOCK  FEBRERO 2021]]-Tabla1[[#This Row],[REQUISICIONES MARZO 2021]]+Tabla1[[#This Row],[ENTRADAS MARZO 2021]]</f>
        <v>5</v>
      </c>
      <c r="W656" s="63">
        <f>+Tabla1[[#This Row],[STOCK MARZO 2021]]-Tabla1[[#This Row],[REQUISICIONES ABRIL 2021]]+Tabla1[[#This Row],[ENTRADAS ABRIL 2021]]</f>
        <v>5</v>
      </c>
      <c r="X656" s="63">
        <f>+Tabla1[[#This Row],[STOCK ABRIL 2021]]-Tabla1[[#This Row],[REQUISICIONES MAYO 2021]]+Tabla1[[#This Row],[ENTRADAS MAYO 2021]]</f>
        <v>5</v>
      </c>
      <c r="Y656" s="63">
        <f>+Tabla1[[#This Row],[STOCK MAYO 2021]]-Tabla1[[#This Row],[REQUISICIONES JUNIO 2021]]+Tabla1[[#This Row],[ENTRADAS JUNIO 2021]]</f>
        <v>5</v>
      </c>
      <c r="Z656" s="30" t="s">
        <v>170</v>
      </c>
      <c r="AA656" s="34">
        <v>0</v>
      </c>
      <c r="AB656" s="35">
        <f t="shared" si="24"/>
        <v>0</v>
      </c>
      <c r="AC656" s="93">
        <f>Tabla1[[#This Row],[STOCK JUNIO ]]*Tabla1[[#This Row],[COSTO UNITARIO SIN ITBIS]]</f>
        <v>0</v>
      </c>
    </row>
    <row r="657" spans="1:29" s="8" customFormat="1" x14ac:dyDescent="0.25">
      <c r="A657" s="265">
        <v>43</v>
      </c>
      <c r="B657" s="74">
        <v>44168</v>
      </c>
      <c r="C657" s="13" t="s">
        <v>11</v>
      </c>
      <c r="D657" s="74">
        <v>44154</v>
      </c>
      <c r="E657" s="145"/>
      <c r="F657" s="28"/>
      <c r="G657" s="32" t="s">
        <v>485</v>
      </c>
      <c r="H657" s="63">
        <v>6</v>
      </c>
      <c r="I657" s="63"/>
      <c r="J657" s="63">
        <f>+'INVENTARIO ABRIL-JUNIO 2021'!$H657-'INVENTARIO ABRIL-JUNIO 2021'!$I657</f>
        <v>6</v>
      </c>
      <c r="K657" s="63"/>
      <c r="L657" s="63"/>
      <c r="M657" s="63"/>
      <c r="N657" s="63"/>
      <c r="O657" s="125"/>
      <c r="P657" s="63"/>
      <c r="Q657" s="63"/>
      <c r="R657" s="63"/>
      <c r="S657" s="63">
        <f>1+1</f>
        <v>2</v>
      </c>
      <c r="T657" s="63">
        <v>1</v>
      </c>
      <c r="U657" s="63">
        <f>+Tabla1[[#This Row],[STOCK    FISICO ENERO 2021]]-Tabla1[[#This Row],[REQUISICIONES FEBRERO 2021]]</f>
        <v>6</v>
      </c>
      <c r="V657" s="63">
        <f>+Tabla1[[#This Row],[STOCK  FEBRERO 2021]]-Tabla1[[#This Row],[REQUISICIONES MARZO 2021]]+Tabla1[[#This Row],[ENTRADAS MARZO 2021]]</f>
        <v>6</v>
      </c>
      <c r="W657" s="63">
        <f>+Tabla1[[#This Row],[STOCK MARZO 2021]]-Tabla1[[#This Row],[REQUISICIONES ABRIL 2021]]+Tabla1[[#This Row],[ENTRADAS ABRIL 2021]]</f>
        <v>6</v>
      </c>
      <c r="X657" s="63">
        <f>+Tabla1[[#This Row],[STOCK ABRIL 2021]]-Tabla1[[#This Row],[REQUISICIONES MAYO 2021]]+Tabla1[[#This Row],[ENTRADAS MAYO 2021]]</f>
        <v>4</v>
      </c>
      <c r="Y657" s="63">
        <f>+Tabla1[[#This Row],[STOCK MAYO 2021]]-Tabla1[[#This Row],[REQUISICIONES JUNIO 2021]]+Tabla1[[#This Row],[ENTRADAS JUNIO 2021]]</f>
        <v>3</v>
      </c>
      <c r="Z657" s="30" t="s">
        <v>170</v>
      </c>
      <c r="AA657" s="34">
        <v>1550</v>
      </c>
      <c r="AB657" s="35">
        <f t="shared" si="24"/>
        <v>1829</v>
      </c>
      <c r="AC657" s="93">
        <f>Tabla1[[#This Row],[STOCK JUNIO ]]*Tabla1[[#This Row],[COSTO UNITARIO SIN ITBIS]]</f>
        <v>4650</v>
      </c>
    </row>
    <row r="658" spans="1:29" s="8" customFormat="1" x14ac:dyDescent="0.25">
      <c r="A658" s="265">
        <v>44</v>
      </c>
      <c r="B658" s="74">
        <v>44168</v>
      </c>
      <c r="C658" s="28" t="s">
        <v>11</v>
      </c>
      <c r="D658" s="31">
        <v>44152</v>
      </c>
      <c r="E658" s="137"/>
      <c r="F658" s="28">
        <v>1310</v>
      </c>
      <c r="G658" s="32" t="s">
        <v>486</v>
      </c>
      <c r="H658" s="63">
        <v>4</v>
      </c>
      <c r="I658" s="63"/>
      <c r="J658" s="63">
        <f>+'INVENTARIO ABRIL-JUNIO 2021'!$H658-'INVENTARIO ABRIL-JUNIO 2021'!$I658</f>
        <v>4</v>
      </c>
      <c r="K658" s="63"/>
      <c r="L658" s="63"/>
      <c r="M658" s="63"/>
      <c r="N658" s="63"/>
      <c r="O658" s="125"/>
      <c r="P658" s="63"/>
      <c r="Q658" s="63"/>
      <c r="R658" s="63"/>
      <c r="S658" s="63"/>
      <c r="T658" s="63"/>
      <c r="U658" s="63">
        <f>+Tabla1[[#This Row],[STOCK    FISICO ENERO 2021]]-Tabla1[[#This Row],[REQUISICIONES FEBRERO 2021]]</f>
        <v>4</v>
      </c>
      <c r="V658" s="63">
        <f>+Tabla1[[#This Row],[STOCK  FEBRERO 2021]]-Tabla1[[#This Row],[REQUISICIONES MARZO 2021]]+Tabla1[[#This Row],[ENTRADAS MARZO 2021]]</f>
        <v>4</v>
      </c>
      <c r="W658" s="63">
        <f>+Tabla1[[#This Row],[STOCK MARZO 2021]]-Tabla1[[#This Row],[REQUISICIONES ABRIL 2021]]+Tabla1[[#This Row],[ENTRADAS ABRIL 2021]]</f>
        <v>4</v>
      </c>
      <c r="X658" s="63">
        <f>+Tabla1[[#This Row],[STOCK ABRIL 2021]]-Tabla1[[#This Row],[REQUISICIONES MAYO 2021]]+Tabla1[[#This Row],[ENTRADAS MAYO 2021]]</f>
        <v>4</v>
      </c>
      <c r="Y658" s="63">
        <f>+Tabla1[[#This Row],[STOCK MAYO 2021]]-Tabla1[[#This Row],[REQUISICIONES JUNIO 2021]]+Tabla1[[#This Row],[ENTRADAS JUNIO 2021]]</f>
        <v>4</v>
      </c>
      <c r="Z658" s="30" t="s">
        <v>170</v>
      </c>
      <c r="AA658" s="34">
        <v>1800</v>
      </c>
      <c r="AB658" s="35">
        <f t="shared" si="24"/>
        <v>2124</v>
      </c>
      <c r="AC658" s="93">
        <f>Tabla1[[#This Row],[STOCK JUNIO ]]*Tabla1[[#This Row],[COSTO UNITARIO SIN ITBIS]]</f>
        <v>7200</v>
      </c>
    </row>
    <row r="659" spans="1:29" s="8" customFormat="1" x14ac:dyDescent="0.25">
      <c r="A659" s="265">
        <v>45</v>
      </c>
      <c r="B659" s="74">
        <v>44168</v>
      </c>
      <c r="C659" s="13" t="s">
        <v>11</v>
      </c>
      <c r="D659" s="31">
        <v>44152</v>
      </c>
      <c r="E659" s="137"/>
      <c r="F659" s="13">
        <v>1311</v>
      </c>
      <c r="G659" s="32" t="s">
        <v>487</v>
      </c>
      <c r="H659" s="72">
        <v>0</v>
      </c>
      <c r="I659" s="72"/>
      <c r="J659" s="72">
        <f>+'INVENTARIO ABRIL-JUNIO 2021'!$H659-'INVENTARIO ABRIL-JUNIO 2021'!$I659</f>
        <v>0</v>
      </c>
      <c r="K659" s="72"/>
      <c r="L659" s="72"/>
      <c r="M659" s="72"/>
      <c r="N659" s="72"/>
      <c r="O659" s="296"/>
      <c r="P659" s="72"/>
      <c r="Q659" s="72"/>
      <c r="R659" s="72"/>
      <c r="S659" s="72"/>
      <c r="T659" s="72"/>
      <c r="U659" s="72">
        <f>+Tabla1[[#This Row],[STOCK    FISICO ENERO 2021]]-Tabla1[[#This Row],[REQUISICIONES FEBRERO 2021]]</f>
        <v>0</v>
      </c>
      <c r="V659" s="72">
        <f>+Tabla1[[#This Row],[STOCK  FEBRERO 2021]]-Tabla1[[#This Row],[REQUISICIONES MARZO 2021]]+Tabla1[[#This Row],[ENTRADAS MARZO 2021]]</f>
        <v>0</v>
      </c>
      <c r="W659" s="72">
        <f>+Tabla1[[#This Row],[STOCK MARZO 2021]]-Tabla1[[#This Row],[REQUISICIONES ABRIL 2021]]+Tabla1[[#This Row],[ENTRADAS ABRIL 2021]]</f>
        <v>0</v>
      </c>
      <c r="X659" s="72">
        <f>+Tabla1[[#This Row],[STOCK ABRIL 2021]]-Tabla1[[#This Row],[REQUISICIONES MAYO 2021]]+Tabla1[[#This Row],[ENTRADAS MAYO 2021]]</f>
        <v>0</v>
      </c>
      <c r="Y659" s="72">
        <f>+Tabla1[[#This Row],[STOCK MAYO 2021]]-Tabla1[[#This Row],[REQUISICIONES JUNIO 2021]]+Tabla1[[#This Row],[ENTRADAS JUNIO 2021]]</f>
        <v>0</v>
      </c>
      <c r="Z659" s="30" t="s">
        <v>170</v>
      </c>
      <c r="AA659" s="76">
        <v>1800</v>
      </c>
      <c r="AB659" s="35">
        <f t="shared" si="24"/>
        <v>2124</v>
      </c>
      <c r="AC659" s="93">
        <f>Tabla1[[#This Row],[STOCK JUNIO ]]*Tabla1[[#This Row],[COSTO UNITARIO SIN ITBIS]]</f>
        <v>0</v>
      </c>
    </row>
    <row r="660" spans="1:29" s="8" customFormat="1" x14ac:dyDescent="0.25">
      <c r="A660" s="265">
        <v>46</v>
      </c>
      <c r="B660" s="31">
        <v>44028</v>
      </c>
      <c r="C660" s="28" t="s">
        <v>11</v>
      </c>
      <c r="D660" s="31">
        <v>44028</v>
      </c>
      <c r="E660" s="137"/>
      <c r="F660" s="28">
        <v>1805</v>
      </c>
      <c r="G660" s="32" t="s">
        <v>488</v>
      </c>
      <c r="H660" s="63">
        <v>3</v>
      </c>
      <c r="I660" s="63"/>
      <c r="J660" s="63">
        <f>+'INVENTARIO ABRIL-JUNIO 2021'!$H660-'INVENTARIO ABRIL-JUNIO 2021'!$I660</f>
        <v>3</v>
      </c>
      <c r="K660" s="63"/>
      <c r="L660" s="63"/>
      <c r="M660" s="63"/>
      <c r="N660" s="63"/>
      <c r="O660" s="125"/>
      <c r="P660" s="63"/>
      <c r="Q660" s="63"/>
      <c r="R660" s="63"/>
      <c r="S660" s="63"/>
      <c r="T660" s="63">
        <f>1+1</f>
        <v>2</v>
      </c>
      <c r="U660" s="63">
        <f>+Tabla1[[#This Row],[STOCK    FISICO ENERO 2021]]-Tabla1[[#This Row],[REQUISICIONES FEBRERO 2021]]</f>
        <v>3</v>
      </c>
      <c r="V660" s="63">
        <f>+Tabla1[[#This Row],[STOCK  FEBRERO 2021]]-Tabla1[[#This Row],[REQUISICIONES MARZO 2021]]+Tabla1[[#This Row],[ENTRADAS MARZO 2021]]</f>
        <v>3</v>
      </c>
      <c r="W660" s="63">
        <f>+Tabla1[[#This Row],[STOCK MARZO 2021]]-Tabla1[[#This Row],[REQUISICIONES ABRIL 2021]]+Tabla1[[#This Row],[ENTRADAS ABRIL 2021]]</f>
        <v>3</v>
      </c>
      <c r="X660" s="63">
        <f>+Tabla1[[#This Row],[STOCK ABRIL 2021]]-Tabla1[[#This Row],[REQUISICIONES MAYO 2021]]+Tabla1[[#This Row],[ENTRADAS MAYO 2021]]</f>
        <v>3</v>
      </c>
      <c r="Y660" s="63">
        <f>+Tabla1[[#This Row],[STOCK MAYO 2021]]-Tabla1[[#This Row],[REQUISICIONES JUNIO 2021]]+Tabla1[[#This Row],[ENTRADAS JUNIO 2021]]</f>
        <v>1</v>
      </c>
      <c r="Z660" s="30" t="s">
        <v>105</v>
      </c>
      <c r="AA660" s="34">
        <v>114</v>
      </c>
      <c r="AB660" s="35">
        <f t="shared" si="24"/>
        <v>134.52000000000001</v>
      </c>
      <c r="AC660" s="93">
        <f>Tabla1[[#This Row],[STOCK JUNIO ]]*Tabla1[[#This Row],[COSTO UNITARIO SIN ITBIS]]</f>
        <v>114</v>
      </c>
    </row>
    <row r="661" spans="1:29" s="8" customFormat="1" x14ac:dyDescent="0.25">
      <c r="A661" s="265">
        <v>47</v>
      </c>
      <c r="B661" s="31">
        <v>42991</v>
      </c>
      <c r="C661" s="28" t="s">
        <v>11</v>
      </c>
      <c r="D661" s="31">
        <v>42991</v>
      </c>
      <c r="E661" s="137"/>
      <c r="F661" s="28">
        <v>1157</v>
      </c>
      <c r="G661" s="32" t="s">
        <v>489</v>
      </c>
      <c r="H661" s="63">
        <v>16</v>
      </c>
      <c r="I661" s="63"/>
      <c r="J661" s="63">
        <f>+'INVENTARIO ABRIL-JUNIO 2021'!$H661-'INVENTARIO ABRIL-JUNIO 2021'!$I661</f>
        <v>16</v>
      </c>
      <c r="K661" s="63"/>
      <c r="L661" s="63"/>
      <c r="M661" s="63"/>
      <c r="N661" s="63"/>
      <c r="O661" s="125"/>
      <c r="P661" s="63"/>
      <c r="Q661" s="63">
        <v>1</v>
      </c>
      <c r="R661" s="63">
        <v>3</v>
      </c>
      <c r="S661" s="63"/>
      <c r="T661" s="63">
        <v>3</v>
      </c>
      <c r="U661" s="63">
        <f>+Tabla1[[#This Row],[STOCK    FISICO ENERO 2021]]-Tabla1[[#This Row],[REQUISICIONES FEBRERO 2021]]</f>
        <v>16</v>
      </c>
      <c r="V661" s="63">
        <f>+Tabla1[[#This Row],[STOCK  FEBRERO 2021]]-Tabla1[[#This Row],[REQUISICIONES MARZO 2021]]+Tabla1[[#This Row],[ENTRADAS MARZO 2021]]</f>
        <v>15</v>
      </c>
      <c r="W661" s="63">
        <f>+Tabla1[[#This Row],[STOCK MARZO 2021]]-Tabla1[[#This Row],[REQUISICIONES ABRIL 2021]]+Tabla1[[#This Row],[ENTRADAS ABRIL 2021]]</f>
        <v>12</v>
      </c>
      <c r="X661" s="63">
        <f>+Tabla1[[#This Row],[STOCK ABRIL 2021]]-Tabla1[[#This Row],[REQUISICIONES MAYO 2021]]+Tabla1[[#This Row],[ENTRADAS MAYO 2021]]</f>
        <v>12</v>
      </c>
      <c r="Y661" s="63">
        <f>+Tabla1[[#This Row],[STOCK MAYO 2021]]-Tabla1[[#This Row],[REQUISICIONES JUNIO 2021]]+Tabla1[[#This Row],[ENTRADAS JUNIO 2021]]</f>
        <v>9</v>
      </c>
      <c r="Z661" s="30" t="s">
        <v>12</v>
      </c>
      <c r="AA661" s="34">
        <v>181.72</v>
      </c>
      <c r="AB661" s="35">
        <f t="shared" si="24"/>
        <v>214.42959999999999</v>
      </c>
      <c r="AC661" s="93">
        <f>Tabla1[[#This Row],[STOCK JUNIO ]]*Tabla1[[#This Row],[COSTO UNITARIO SIN ITBIS]]</f>
        <v>1635.48</v>
      </c>
    </row>
    <row r="662" spans="1:29" s="8" customFormat="1" x14ac:dyDescent="0.25">
      <c r="A662" s="265">
        <v>48</v>
      </c>
      <c r="B662" s="31">
        <v>42991</v>
      </c>
      <c r="C662" s="28" t="s">
        <v>11</v>
      </c>
      <c r="D662" s="31">
        <v>42991</v>
      </c>
      <c r="E662" s="137"/>
      <c r="F662" s="28">
        <v>1168</v>
      </c>
      <c r="G662" s="32" t="s">
        <v>490</v>
      </c>
      <c r="H662" s="63">
        <v>195</v>
      </c>
      <c r="I662" s="63"/>
      <c r="J662" s="63">
        <f>+'INVENTARIO ABRIL-JUNIO 2021'!$H662-'INVENTARIO ABRIL-JUNIO 2021'!$I662</f>
        <v>195</v>
      </c>
      <c r="K662" s="63"/>
      <c r="L662" s="63"/>
      <c r="M662" s="63"/>
      <c r="N662" s="63"/>
      <c r="O662" s="125"/>
      <c r="P662" s="63">
        <v>4</v>
      </c>
      <c r="Q662" s="63"/>
      <c r="R662" s="63">
        <f>10+4</f>
        <v>14</v>
      </c>
      <c r="S662" s="63"/>
      <c r="T662" s="63"/>
      <c r="U662" s="63">
        <f>+Tabla1[[#This Row],[STOCK    FISICO ENERO 2021]]-Tabla1[[#This Row],[REQUISICIONES FEBRERO 2021]]</f>
        <v>191</v>
      </c>
      <c r="V662" s="63">
        <f>+Tabla1[[#This Row],[STOCK  FEBRERO 2021]]-Tabla1[[#This Row],[REQUISICIONES MARZO 2021]]+Tabla1[[#This Row],[ENTRADAS MARZO 2021]]</f>
        <v>191</v>
      </c>
      <c r="W662" s="63">
        <f>+Tabla1[[#This Row],[STOCK MARZO 2021]]-Tabla1[[#This Row],[REQUISICIONES ABRIL 2021]]+Tabla1[[#This Row],[ENTRADAS ABRIL 2021]]</f>
        <v>177</v>
      </c>
      <c r="X662" s="63">
        <f>+Tabla1[[#This Row],[STOCK ABRIL 2021]]-Tabla1[[#This Row],[REQUISICIONES MAYO 2021]]+Tabla1[[#This Row],[ENTRADAS MAYO 2021]]</f>
        <v>177</v>
      </c>
      <c r="Y662" s="63">
        <f>+Tabla1[[#This Row],[STOCK MAYO 2021]]-Tabla1[[#This Row],[REQUISICIONES JUNIO 2021]]+Tabla1[[#This Row],[ENTRADAS JUNIO 2021]]</f>
        <v>177</v>
      </c>
      <c r="Z662" s="30" t="s">
        <v>12</v>
      </c>
      <c r="AA662" s="34">
        <v>3.5</v>
      </c>
      <c r="AB662" s="35">
        <f t="shared" si="24"/>
        <v>4.13</v>
      </c>
      <c r="AC662" s="93">
        <f>Tabla1[[#This Row],[STOCK JUNIO ]]*Tabla1[[#This Row],[COSTO UNITARIO SIN ITBIS]]</f>
        <v>619.5</v>
      </c>
    </row>
    <row r="663" spans="1:29" s="8" customFormat="1" x14ac:dyDescent="0.25">
      <c r="A663" s="265">
        <v>49</v>
      </c>
      <c r="B663" s="74">
        <v>43223</v>
      </c>
      <c r="C663" s="13" t="s">
        <v>11</v>
      </c>
      <c r="D663" s="74">
        <v>43223</v>
      </c>
      <c r="E663" s="145"/>
      <c r="F663" s="13">
        <v>1199</v>
      </c>
      <c r="G663" s="75" t="s">
        <v>491</v>
      </c>
      <c r="H663" s="72">
        <v>6</v>
      </c>
      <c r="I663" s="72">
        <f>1+1</f>
        <v>2</v>
      </c>
      <c r="J663" s="72">
        <f>+'INVENTARIO ABRIL-JUNIO 2021'!$H663-'INVENTARIO ABRIL-JUNIO 2021'!$I663</f>
        <v>4</v>
      </c>
      <c r="K663" s="72"/>
      <c r="L663" s="72"/>
      <c r="M663" s="72"/>
      <c r="N663" s="72"/>
      <c r="O663" s="296"/>
      <c r="P663" s="72">
        <v>2</v>
      </c>
      <c r="Q663" s="72">
        <v>1</v>
      </c>
      <c r="R663" s="72"/>
      <c r="S663" s="72"/>
      <c r="T663" s="72"/>
      <c r="U663" s="72">
        <f>+Tabla1[[#This Row],[STOCK    FISICO ENERO 2021]]-Tabla1[[#This Row],[REQUISICIONES FEBRERO 2021]]</f>
        <v>2</v>
      </c>
      <c r="V663" s="72">
        <f>+Tabla1[[#This Row],[STOCK  FEBRERO 2021]]-Tabla1[[#This Row],[REQUISICIONES MARZO 2021]]+Tabla1[[#This Row],[ENTRADAS MARZO 2021]]</f>
        <v>1</v>
      </c>
      <c r="W663" s="72">
        <f>+Tabla1[[#This Row],[STOCK MARZO 2021]]-Tabla1[[#This Row],[REQUISICIONES ABRIL 2021]]+Tabla1[[#This Row],[ENTRADAS ABRIL 2021]]</f>
        <v>1</v>
      </c>
      <c r="X663" s="72">
        <f>+Tabla1[[#This Row],[STOCK ABRIL 2021]]-Tabla1[[#This Row],[REQUISICIONES MAYO 2021]]+Tabla1[[#This Row],[ENTRADAS MAYO 2021]]</f>
        <v>1</v>
      </c>
      <c r="Y663" s="72">
        <f>+Tabla1[[#This Row],[STOCK MAYO 2021]]-Tabla1[[#This Row],[REQUISICIONES JUNIO 2021]]+Tabla1[[#This Row],[ENTRADAS JUNIO 2021]]</f>
        <v>1</v>
      </c>
      <c r="Z663" s="73" t="s">
        <v>170</v>
      </c>
      <c r="AA663" s="76">
        <v>315</v>
      </c>
      <c r="AB663" s="35">
        <f t="shared" si="24"/>
        <v>371.7</v>
      </c>
      <c r="AC663" s="93">
        <f>Tabla1[[#This Row],[STOCK JUNIO ]]*Tabla1[[#This Row],[COSTO UNITARIO SIN ITBIS]]</f>
        <v>315</v>
      </c>
    </row>
    <row r="664" spans="1:29" s="8" customFormat="1" ht="15.75" thickBot="1" x14ac:dyDescent="0.3">
      <c r="A664" s="57"/>
      <c r="B664" s="56"/>
      <c r="C664" s="56"/>
      <c r="D664" s="56"/>
      <c r="E664" s="141"/>
      <c r="F664" s="56"/>
      <c r="G664" s="56"/>
      <c r="H664" s="57"/>
      <c r="I664" s="57"/>
      <c r="J664" s="57">
        <f>+'INVENTARIO ABRIL-JUNIO 2021'!$H664-'INVENTARIO ABRIL-JUNIO 2021'!$I664</f>
        <v>0</v>
      </c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>
        <f>+Tabla1[[#This Row],[STOCK  FEBRERO 2021]]-Tabla1[[#This Row],[REQUISICIONES MARZO 2021]]+Tabla1[[#This Row],[ENTRADAS MARZO 2021]]</f>
        <v>0</v>
      </c>
      <c r="W664" s="57"/>
      <c r="X664" s="57"/>
      <c r="Y664" s="57"/>
      <c r="Z664" s="56"/>
      <c r="AA664" s="58"/>
      <c r="AB664" s="58" t="s">
        <v>715</v>
      </c>
      <c r="AC664" s="95">
        <f>SUM(AC615:AC663)</f>
        <v>141340.49272727274</v>
      </c>
    </row>
    <row r="665" spans="1:29" s="8" customFormat="1" ht="15.75" thickTop="1" x14ac:dyDescent="0.25">
      <c r="A665" s="262" t="s">
        <v>492</v>
      </c>
      <c r="B665" s="61"/>
      <c r="C665" s="61"/>
      <c r="D665" s="61"/>
      <c r="E665" s="96"/>
      <c r="F665" s="61"/>
      <c r="G665" s="61"/>
      <c r="H665" s="61"/>
      <c r="I665" s="61"/>
      <c r="J665" s="61"/>
      <c r="K665" s="61"/>
      <c r="L665" s="61"/>
      <c r="M665" s="61"/>
      <c r="N665" s="61"/>
      <c r="O665" s="262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96"/>
    </row>
    <row r="666" spans="1:29" x14ac:dyDescent="0.25">
      <c r="A666" s="266">
        <v>1</v>
      </c>
      <c r="B666" s="31"/>
      <c r="C666" s="28"/>
      <c r="D666" s="31"/>
      <c r="E666" s="137"/>
      <c r="F666" s="13"/>
      <c r="G666" s="32" t="s">
        <v>308</v>
      </c>
      <c r="H666" s="63">
        <v>32</v>
      </c>
      <c r="I666" s="63"/>
      <c r="J666" s="63">
        <f>+'INVENTARIO ABRIL-JUNIO 2021'!$H666-'INVENTARIO ABRIL-JUNIO 2021'!$I666</f>
        <v>32</v>
      </c>
      <c r="K666" s="63"/>
      <c r="L666" s="63"/>
      <c r="M666" s="63"/>
      <c r="N666" s="63"/>
      <c r="O666" s="125"/>
      <c r="P666" s="63"/>
      <c r="Q666" s="63">
        <v>8</v>
      </c>
      <c r="R666" s="63"/>
      <c r="S666" s="63"/>
      <c r="T666" s="63"/>
      <c r="U666" s="63">
        <f>+Tabla1[[#This Row],[STOCK    FISICO ENERO 2021]]-Tabla1[[#This Row],[REQUISICIONES FEBRERO 2021]]</f>
        <v>32</v>
      </c>
      <c r="V666" s="63">
        <f>+Tabla1[[#This Row],[STOCK  FEBRERO 2021]]-Tabla1[[#This Row],[REQUISICIONES MARZO 2021]]+Tabla1[[#This Row],[ENTRADAS MARZO 2021]]</f>
        <v>24</v>
      </c>
      <c r="W666" s="63">
        <f>+Tabla1[[#This Row],[STOCK MARZO 2021]]-Tabla1[[#This Row],[REQUISICIONES ABRIL 2021]]+Tabla1[[#This Row],[ENTRADAS ABRIL 2021]]</f>
        <v>24</v>
      </c>
      <c r="X666" s="63">
        <f>+Tabla1[[#This Row],[STOCK ABRIL 2021]]-Tabla1[[#This Row],[REQUISICIONES MAYO 2021]]+Tabla1[[#This Row],[ENTRADAS MAYO 2021]]</f>
        <v>24</v>
      </c>
      <c r="Y666" s="63">
        <f>+Tabla1[[#This Row],[STOCK MAYO 2021]]-Tabla1[[#This Row],[REQUISICIONES JUNIO 2021]]+Tabla1[[#This Row],[ENTRADAS JUNIO 2021]]</f>
        <v>24</v>
      </c>
      <c r="Z666" s="78" t="s">
        <v>105</v>
      </c>
      <c r="AA666" s="34">
        <v>0</v>
      </c>
      <c r="AB666" s="35">
        <v>0</v>
      </c>
      <c r="AC666" s="93">
        <f>Tabla1[[#This Row],[STOCK JUNIO ]]*Tabla1[[#This Row],[COSTO UNITARIO SIN ITBIS]]</f>
        <v>0</v>
      </c>
    </row>
    <row r="667" spans="1:29" s="10" customFormat="1" x14ac:dyDescent="0.25">
      <c r="A667" s="266">
        <v>2</v>
      </c>
      <c r="B667" s="74">
        <v>44028</v>
      </c>
      <c r="C667" s="28" t="s">
        <v>11</v>
      </c>
      <c r="D667" s="74">
        <v>44028</v>
      </c>
      <c r="E667" s="145"/>
      <c r="F667" s="13">
        <v>1800</v>
      </c>
      <c r="G667" s="77" t="s">
        <v>493</v>
      </c>
      <c r="H667" s="72">
        <v>2</v>
      </c>
      <c r="I667" s="72"/>
      <c r="J667" s="72">
        <f>+'INVENTARIO ABRIL-JUNIO 2021'!$H667-'INVENTARIO ABRIL-JUNIO 2021'!$I667</f>
        <v>2</v>
      </c>
      <c r="K667" s="72"/>
      <c r="L667" s="72"/>
      <c r="M667" s="72"/>
      <c r="N667" s="72"/>
      <c r="O667" s="296"/>
      <c r="P667" s="72"/>
      <c r="Q667" s="72"/>
      <c r="R667" s="72"/>
      <c r="S667" s="72"/>
      <c r="T667" s="72"/>
      <c r="U667" s="72">
        <f>+Tabla1[[#This Row],[STOCK    FISICO ENERO 2021]]-Tabla1[[#This Row],[REQUISICIONES FEBRERO 2021]]</f>
        <v>2</v>
      </c>
      <c r="V667" s="72">
        <f>+Tabla1[[#This Row],[STOCK  FEBRERO 2021]]-Tabla1[[#This Row],[REQUISICIONES MARZO 2021]]+Tabla1[[#This Row],[ENTRADAS MARZO 2021]]</f>
        <v>2</v>
      </c>
      <c r="W667" s="72">
        <f>+Tabla1[[#This Row],[STOCK MARZO 2021]]-Tabla1[[#This Row],[REQUISICIONES ABRIL 2021]]+Tabla1[[#This Row],[ENTRADAS ABRIL 2021]]</f>
        <v>2</v>
      </c>
      <c r="X667" s="72">
        <f>+Tabla1[[#This Row],[STOCK ABRIL 2021]]-Tabla1[[#This Row],[REQUISICIONES MAYO 2021]]+Tabla1[[#This Row],[ENTRADAS MAYO 2021]]</f>
        <v>2</v>
      </c>
      <c r="Y667" s="72">
        <f>+Tabla1[[#This Row],[STOCK MAYO 2021]]-Tabla1[[#This Row],[REQUISICIONES JUNIO 2021]]+Tabla1[[#This Row],[ENTRADAS JUNIO 2021]]</f>
        <v>2</v>
      </c>
      <c r="Z667" s="78" t="s">
        <v>105</v>
      </c>
      <c r="AA667" s="76">
        <v>241.08</v>
      </c>
      <c r="AB667" s="35">
        <f t="shared" ref="AB667:AB686" si="25">AA667*0.18+AA667</f>
        <v>284.4744</v>
      </c>
      <c r="AC667" s="93">
        <f>Tabla1[[#This Row],[STOCK JUNIO ]]*Tabla1[[#This Row],[COSTO UNITARIO SIN ITBIS]]</f>
        <v>482.16</v>
      </c>
    </row>
    <row r="668" spans="1:29" s="8" customFormat="1" x14ac:dyDescent="0.25">
      <c r="A668" s="266">
        <v>3</v>
      </c>
      <c r="B668" s="74">
        <v>44168</v>
      </c>
      <c r="C668" s="28" t="s">
        <v>11</v>
      </c>
      <c r="D668" s="74">
        <v>44147</v>
      </c>
      <c r="E668" s="145"/>
      <c r="F668" s="13">
        <v>1798</v>
      </c>
      <c r="G668" s="75" t="s">
        <v>652</v>
      </c>
      <c r="H668" s="72">
        <v>2</v>
      </c>
      <c r="I668" s="72"/>
      <c r="J668" s="72">
        <f>+'INVENTARIO ABRIL-JUNIO 2021'!$H668-'INVENTARIO ABRIL-JUNIO 2021'!$I668</f>
        <v>2</v>
      </c>
      <c r="K668" s="72"/>
      <c r="L668" s="72"/>
      <c r="M668" s="72"/>
      <c r="N668" s="72"/>
      <c r="O668" s="296"/>
      <c r="P668" s="72"/>
      <c r="Q668" s="72"/>
      <c r="R668" s="72"/>
      <c r="S668" s="72">
        <v>1</v>
      </c>
      <c r="T668" s="72">
        <v>1</v>
      </c>
      <c r="U668" s="72">
        <f>+Tabla1[[#This Row],[STOCK    FISICO ENERO 2021]]-Tabla1[[#This Row],[REQUISICIONES FEBRERO 2021]]</f>
        <v>2</v>
      </c>
      <c r="V668" s="72">
        <f>+Tabla1[[#This Row],[STOCK  FEBRERO 2021]]-Tabla1[[#This Row],[REQUISICIONES MARZO 2021]]+Tabla1[[#This Row],[ENTRADAS MARZO 2021]]</f>
        <v>2</v>
      </c>
      <c r="W668" s="72">
        <f>+Tabla1[[#This Row],[STOCK MARZO 2021]]-Tabla1[[#This Row],[REQUISICIONES ABRIL 2021]]+Tabla1[[#This Row],[ENTRADAS ABRIL 2021]]</f>
        <v>2</v>
      </c>
      <c r="X668" s="72">
        <f>+Tabla1[[#This Row],[STOCK ABRIL 2021]]-Tabla1[[#This Row],[REQUISICIONES MAYO 2021]]+Tabla1[[#This Row],[ENTRADAS MAYO 2021]]</f>
        <v>1</v>
      </c>
      <c r="Y668" s="72">
        <f>+Tabla1[[#This Row],[STOCK MAYO 2021]]-Tabla1[[#This Row],[REQUISICIONES JUNIO 2021]]+Tabla1[[#This Row],[ENTRADAS JUNIO 2021]]</f>
        <v>0</v>
      </c>
      <c r="Z668" s="73" t="s">
        <v>105</v>
      </c>
      <c r="AA668" s="76">
        <v>157.44</v>
      </c>
      <c r="AB668" s="35">
        <f t="shared" si="25"/>
        <v>185.7792</v>
      </c>
      <c r="AC668" s="93">
        <f>Tabla1[[#This Row],[STOCK JUNIO ]]*Tabla1[[#This Row],[COSTO UNITARIO SIN ITBIS]]</f>
        <v>0</v>
      </c>
    </row>
    <row r="669" spans="1:29" s="8" customFormat="1" x14ac:dyDescent="0.25">
      <c r="A669" s="266">
        <v>4</v>
      </c>
      <c r="B669" s="74">
        <v>44168</v>
      </c>
      <c r="C669" s="28" t="s">
        <v>11</v>
      </c>
      <c r="D669" s="74">
        <v>44147</v>
      </c>
      <c r="E669" s="145"/>
      <c r="F669" s="13">
        <v>1801</v>
      </c>
      <c r="G669" s="75" t="s">
        <v>653</v>
      </c>
      <c r="H669" s="72">
        <v>3</v>
      </c>
      <c r="I669" s="72"/>
      <c r="J669" s="72">
        <f>+'INVENTARIO ABRIL-JUNIO 2021'!$H669-'INVENTARIO ABRIL-JUNIO 2021'!$I669</f>
        <v>3</v>
      </c>
      <c r="K669" s="72"/>
      <c r="L669" s="72"/>
      <c r="M669" s="72"/>
      <c r="N669" s="72"/>
      <c r="O669" s="296"/>
      <c r="P669" s="72"/>
      <c r="Q669" s="72"/>
      <c r="R669" s="72"/>
      <c r="S669" s="72"/>
      <c r="T669" s="72">
        <v>1</v>
      </c>
      <c r="U669" s="72">
        <f>+Tabla1[[#This Row],[STOCK    FISICO ENERO 2021]]-Tabla1[[#This Row],[REQUISICIONES FEBRERO 2021]]</f>
        <v>3</v>
      </c>
      <c r="V669" s="72">
        <f>+Tabla1[[#This Row],[STOCK  FEBRERO 2021]]-Tabla1[[#This Row],[REQUISICIONES MARZO 2021]]+Tabla1[[#This Row],[ENTRADAS MARZO 2021]]</f>
        <v>3</v>
      </c>
      <c r="W669" s="72">
        <f>+Tabla1[[#This Row],[STOCK MARZO 2021]]-Tabla1[[#This Row],[REQUISICIONES ABRIL 2021]]+Tabla1[[#This Row],[ENTRADAS ABRIL 2021]]</f>
        <v>3</v>
      </c>
      <c r="X669" s="72">
        <f>+Tabla1[[#This Row],[STOCK ABRIL 2021]]-Tabla1[[#This Row],[REQUISICIONES MAYO 2021]]+Tabla1[[#This Row],[ENTRADAS MAYO 2021]]</f>
        <v>3</v>
      </c>
      <c r="Y669" s="72">
        <f>+Tabla1[[#This Row],[STOCK MAYO 2021]]-Tabla1[[#This Row],[REQUISICIONES JUNIO 2021]]+Tabla1[[#This Row],[ENTRADAS JUNIO 2021]]</f>
        <v>2</v>
      </c>
      <c r="Z669" s="73" t="s">
        <v>105</v>
      </c>
      <c r="AA669" s="76">
        <v>156.46</v>
      </c>
      <c r="AB669" s="35">
        <f t="shared" si="25"/>
        <v>184.62280000000001</v>
      </c>
      <c r="AC669" s="93">
        <f>Tabla1[[#This Row],[STOCK JUNIO ]]*Tabla1[[#This Row],[COSTO UNITARIO SIN ITBIS]]</f>
        <v>312.92</v>
      </c>
    </row>
    <row r="670" spans="1:29" s="8" customFormat="1" x14ac:dyDescent="0.25">
      <c r="A670" s="266">
        <v>5</v>
      </c>
      <c r="B670" s="74">
        <v>44168</v>
      </c>
      <c r="C670" s="28" t="s">
        <v>11</v>
      </c>
      <c r="D670" s="74">
        <v>44151</v>
      </c>
      <c r="E670" s="145"/>
      <c r="F670" s="28">
        <v>1799</v>
      </c>
      <c r="G670" s="32" t="s">
        <v>654</v>
      </c>
      <c r="H670" s="71">
        <v>2</v>
      </c>
      <c r="I670" s="71"/>
      <c r="J670" s="71">
        <f>+'INVENTARIO ABRIL-JUNIO 2021'!$H670-'INVENTARIO ABRIL-JUNIO 2021'!$I670</f>
        <v>2</v>
      </c>
      <c r="K670" s="71"/>
      <c r="L670" s="71"/>
      <c r="M670" s="71"/>
      <c r="N670" s="71"/>
      <c r="O670" s="297"/>
      <c r="P670" s="71"/>
      <c r="Q670" s="71"/>
      <c r="R670" s="71"/>
      <c r="S670" s="71"/>
      <c r="T670" s="71"/>
      <c r="U670" s="71">
        <f>+Tabla1[[#This Row],[STOCK    FISICO ENERO 2021]]-Tabla1[[#This Row],[REQUISICIONES FEBRERO 2021]]</f>
        <v>2</v>
      </c>
      <c r="V670" s="71">
        <f>+Tabla1[[#This Row],[STOCK  FEBRERO 2021]]-Tabla1[[#This Row],[REQUISICIONES MARZO 2021]]+Tabla1[[#This Row],[ENTRADAS MARZO 2021]]</f>
        <v>2</v>
      </c>
      <c r="W670" s="71">
        <f>+Tabla1[[#This Row],[STOCK MARZO 2021]]-Tabla1[[#This Row],[REQUISICIONES ABRIL 2021]]+Tabla1[[#This Row],[ENTRADAS ABRIL 2021]]</f>
        <v>2</v>
      </c>
      <c r="X670" s="71">
        <f>+Tabla1[[#This Row],[STOCK ABRIL 2021]]-Tabla1[[#This Row],[REQUISICIONES MAYO 2021]]+Tabla1[[#This Row],[ENTRADAS MAYO 2021]]</f>
        <v>2</v>
      </c>
      <c r="Y670" s="71">
        <f>+Tabla1[[#This Row],[STOCK MAYO 2021]]-Tabla1[[#This Row],[REQUISICIONES JUNIO 2021]]+Tabla1[[#This Row],[ENTRADAS JUNIO 2021]]</f>
        <v>2</v>
      </c>
      <c r="Z670" s="30" t="s">
        <v>105</v>
      </c>
      <c r="AA670" s="34">
        <v>610.08000000000004</v>
      </c>
      <c r="AB670" s="35">
        <f t="shared" si="25"/>
        <v>719.89440000000002</v>
      </c>
      <c r="AC670" s="93">
        <f>Tabla1[[#This Row],[STOCK JUNIO ]]*Tabla1[[#This Row],[COSTO UNITARIO SIN ITBIS]]</f>
        <v>1220.1600000000001</v>
      </c>
    </row>
    <row r="671" spans="1:29" s="8" customFormat="1" x14ac:dyDescent="0.25">
      <c r="A671" s="266">
        <v>6</v>
      </c>
      <c r="B671" s="74">
        <v>44168</v>
      </c>
      <c r="C671" s="28" t="s">
        <v>11</v>
      </c>
      <c r="D671" s="74">
        <v>44153</v>
      </c>
      <c r="E671" s="145"/>
      <c r="F671" s="13">
        <v>1555</v>
      </c>
      <c r="G671" s="75" t="s">
        <v>494</v>
      </c>
      <c r="H671" s="63">
        <v>1088</v>
      </c>
      <c r="I671" s="63"/>
      <c r="J671" s="63">
        <f>+'INVENTARIO ABRIL-JUNIO 2021'!$H671-'INVENTARIO ABRIL-JUNIO 2021'!$I671</f>
        <v>1088</v>
      </c>
      <c r="K671" s="63"/>
      <c r="L671" s="63"/>
      <c r="M671" s="63"/>
      <c r="N671" s="63"/>
      <c r="O671" s="125"/>
      <c r="P671" s="63"/>
      <c r="Q671" s="63"/>
      <c r="R671" s="63"/>
      <c r="S671" s="63"/>
      <c r="T671" s="63"/>
      <c r="U671" s="63">
        <f>+Tabla1[[#This Row],[STOCK    FISICO ENERO 2021]]-Tabla1[[#This Row],[REQUISICIONES FEBRERO 2021]]</f>
        <v>1088</v>
      </c>
      <c r="V671" s="63">
        <f>+Tabla1[[#This Row],[STOCK  FEBRERO 2021]]-Tabla1[[#This Row],[REQUISICIONES MARZO 2021]]+Tabla1[[#This Row],[ENTRADAS MARZO 2021]]</f>
        <v>1088</v>
      </c>
      <c r="W671" s="63">
        <f>+Tabla1[[#This Row],[STOCK MARZO 2021]]-Tabla1[[#This Row],[REQUISICIONES ABRIL 2021]]+Tabla1[[#This Row],[ENTRADAS ABRIL 2021]]</f>
        <v>1088</v>
      </c>
      <c r="X671" s="63">
        <f>+Tabla1[[#This Row],[STOCK ABRIL 2021]]-Tabla1[[#This Row],[REQUISICIONES MAYO 2021]]+Tabla1[[#This Row],[ENTRADAS MAYO 2021]]</f>
        <v>1088</v>
      </c>
      <c r="Y671" s="63">
        <f>+Tabla1[[#This Row],[STOCK MAYO 2021]]-Tabla1[[#This Row],[REQUISICIONES JUNIO 2021]]+Tabla1[[#This Row],[ENTRADAS JUNIO 2021]]</f>
        <v>1088</v>
      </c>
      <c r="Z671" s="73" t="s">
        <v>12</v>
      </c>
      <c r="AA671" s="76">
        <v>1.1000000000000001</v>
      </c>
      <c r="AB671" s="35">
        <f t="shared" si="25"/>
        <v>1.298</v>
      </c>
      <c r="AC671" s="93">
        <f>Tabla1[[#This Row],[STOCK JUNIO ]]*Tabla1[[#This Row],[COSTO UNITARIO SIN ITBIS]]</f>
        <v>1196.8000000000002</v>
      </c>
    </row>
    <row r="672" spans="1:29" s="8" customFormat="1" x14ac:dyDescent="0.25">
      <c r="A672" s="266">
        <v>7</v>
      </c>
      <c r="B672" s="74">
        <v>44168</v>
      </c>
      <c r="C672" s="28" t="s">
        <v>11</v>
      </c>
      <c r="D672" s="74">
        <v>44153</v>
      </c>
      <c r="E672" s="145"/>
      <c r="F672" s="28">
        <v>1556</v>
      </c>
      <c r="G672" s="32" t="s">
        <v>495</v>
      </c>
      <c r="H672" s="72">
        <v>2626</v>
      </c>
      <c r="I672" s="72"/>
      <c r="J672" s="72">
        <f>+'INVENTARIO ABRIL-JUNIO 2021'!$H672-'INVENTARIO ABRIL-JUNIO 2021'!$I672</f>
        <v>2626</v>
      </c>
      <c r="K672" s="72"/>
      <c r="L672" s="72"/>
      <c r="M672" s="72"/>
      <c r="N672" s="72"/>
      <c r="O672" s="296"/>
      <c r="P672" s="72"/>
      <c r="Q672" s="72"/>
      <c r="R672" s="72"/>
      <c r="S672" s="72"/>
      <c r="T672" s="72"/>
      <c r="U672" s="72">
        <f>+Tabla1[[#This Row],[STOCK    FISICO ENERO 2021]]-Tabla1[[#This Row],[REQUISICIONES FEBRERO 2021]]</f>
        <v>2626</v>
      </c>
      <c r="V672" s="72">
        <f>+Tabla1[[#This Row],[STOCK  FEBRERO 2021]]-Tabla1[[#This Row],[REQUISICIONES MARZO 2021]]+Tabla1[[#This Row],[ENTRADAS MARZO 2021]]</f>
        <v>2626</v>
      </c>
      <c r="W672" s="72">
        <f>+Tabla1[[#This Row],[STOCK MARZO 2021]]-Tabla1[[#This Row],[REQUISICIONES ABRIL 2021]]+Tabla1[[#This Row],[ENTRADAS ABRIL 2021]]</f>
        <v>2626</v>
      </c>
      <c r="X672" s="72">
        <f>+Tabla1[[#This Row],[STOCK ABRIL 2021]]-Tabla1[[#This Row],[REQUISICIONES MAYO 2021]]+Tabla1[[#This Row],[ENTRADAS MAYO 2021]]</f>
        <v>2626</v>
      </c>
      <c r="Y672" s="72">
        <f>+Tabla1[[#This Row],[STOCK MAYO 2021]]-Tabla1[[#This Row],[REQUISICIONES JUNIO 2021]]+Tabla1[[#This Row],[ENTRADAS JUNIO 2021]]</f>
        <v>2626</v>
      </c>
      <c r="Z672" s="30" t="s">
        <v>12</v>
      </c>
      <c r="AA672" s="34">
        <v>1.85</v>
      </c>
      <c r="AB672" s="35">
        <f t="shared" si="25"/>
        <v>2.1830000000000003</v>
      </c>
      <c r="AC672" s="93">
        <f>Tabla1[[#This Row],[STOCK JUNIO ]]*Tabla1[[#This Row],[COSTO UNITARIO SIN ITBIS]]</f>
        <v>4858.1000000000004</v>
      </c>
    </row>
    <row r="673" spans="1:29" s="8" customFormat="1" x14ac:dyDescent="0.25">
      <c r="A673" s="266">
        <v>8</v>
      </c>
      <c r="B673" s="74">
        <v>44168</v>
      </c>
      <c r="C673" s="28" t="s">
        <v>11</v>
      </c>
      <c r="D673" s="74">
        <v>44154</v>
      </c>
      <c r="E673" s="145"/>
      <c r="F673" s="13">
        <v>1806</v>
      </c>
      <c r="G673" s="75" t="s">
        <v>496</v>
      </c>
      <c r="H673" s="72">
        <v>1</v>
      </c>
      <c r="I673" s="72"/>
      <c r="J673" s="72">
        <f>+'INVENTARIO ABRIL-JUNIO 2021'!$H673-'INVENTARIO ABRIL-JUNIO 2021'!$I673</f>
        <v>1</v>
      </c>
      <c r="K673" s="72"/>
      <c r="L673" s="72"/>
      <c r="M673" s="72"/>
      <c r="N673" s="72"/>
      <c r="O673" s="296"/>
      <c r="P673" s="72"/>
      <c r="Q673" s="72"/>
      <c r="R673" s="72"/>
      <c r="S673" s="72"/>
      <c r="T673" s="72"/>
      <c r="U673" s="72">
        <f>+Tabla1[[#This Row],[STOCK    FISICO ENERO 2021]]-Tabla1[[#This Row],[REQUISICIONES FEBRERO 2021]]</f>
        <v>1</v>
      </c>
      <c r="V673" s="72">
        <f>+Tabla1[[#This Row],[STOCK  FEBRERO 2021]]-Tabla1[[#This Row],[REQUISICIONES MARZO 2021]]+Tabla1[[#This Row],[ENTRADAS MARZO 2021]]</f>
        <v>1</v>
      </c>
      <c r="W673" s="72">
        <f>+Tabla1[[#This Row],[STOCK MARZO 2021]]-Tabla1[[#This Row],[REQUISICIONES ABRIL 2021]]+Tabla1[[#This Row],[ENTRADAS ABRIL 2021]]</f>
        <v>1</v>
      </c>
      <c r="X673" s="72">
        <f>+Tabla1[[#This Row],[STOCK ABRIL 2021]]-Tabla1[[#This Row],[REQUISICIONES MAYO 2021]]+Tabla1[[#This Row],[ENTRADAS MAYO 2021]]</f>
        <v>1</v>
      </c>
      <c r="Y673" s="72">
        <f>+Tabla1[[#This Row],[STOCK MAYO 2021]]-Tabla1[[#This Row],[REQUISICIONES JUNIO 2021]]+Tabla1[[#This Row],[ENTRADAS JUNIO 2021]]</f>
        <v>1</v>
      </c>
      <c r="Z673" s="73" t="s">
        <v>105</v>
      </c>
      <c r="AA673" s="76">
        <v>319.8</v>
      </c>
      <c r="AB673" s="35">
        <f t="shared" si="25"/>
        <v>377.36400000000003</v>
      </c>
      <c r="AC673" s="93">
        <f>Tabla1[[#This Row],[STOCK JUNIO ]]*Tabla1[[#This Row],[COSTO UNITARIO SIN ITBIS]]</f>
        <v>319.8</v>
      </c>
    </row>
    <row r="674" spans="1:29" s="8" customFormat="1" x14ac:dyDescent="0.25">
      <c r="A674" s="266">
        <v>9</v>
      </c>
      <c r="B674" s="31">
        <v>44028</v>
      </c>
      <c r="C674" s="28" t="s">
        <v>11</v>
      </c>
      <c r="D674" s="31">
        <v>44028</v>
      </c>
      <c r="E674" s="137"/>
      <c r="F674" s="13"/>
      <c r="G674" s="75" t="s">
        <v>497</v>
      </c>
      <c r="H674" s="72">
        <v>10</v>
      </c>
      <c r="I674" s="72"/>
      <c r="J674" s="72">
        <f>+'INVENTARIO ABRIL-JUNIO 2021'!$H674-'INVENTARIO ABRIL-JUNIO 2021'!$I674</f>
        <v>10</v>
      </c>
      <c r="K674" s="72"/>
      <c r="L674" s="72"/>
      <c r="M674" s="72"/>
      <c r="N674" s="72"/>
      <c r="O674" s="296"/>
      <c r="P674" s="72"/>
      <c r="Q674" s="72"/>
      <c r="R674" s="72"/>
      <c r="S674" s="72"/>
      <c r="T674" s="72"/>
      <c r="U674" s="72">
        <f>+Tabla1[[#This Row],[STOCK    FISICO ENERO 2021]]-Tabla1[[#This Row],[REQUISICIONES FEBRERO 2021]]</f>
        <v>10</v>
      </c>
      <c r="V674" s="72">
        <f>+Tabla1[[#This Row],[STOCK  FEBRERO 2021]]-Tabla1[[#This Row],[REQUISICIONES MARZO 2021]]+Tabla1[[#This Row],[ENTRADAS MARZO 2021]]</f>
        <v>10</v>
      </c>
      <c r="W674" s="72">
        <f>+Tabla1[[#This Row],[STOCK MARZO 2021]]-Tabla1[[#This Row],[REQUISICIONES ABRIL 2021]]+Tabla1[[#This Row],[ENTRADAS ABRIL 2021]]</f>
        <v>10</v>
      </c>
      <c r="X674" s="72">
        <f>+Tabla1[[#This Row],[STOCK ABRIL 2021]]-Tabla1[[#This Row],[REQUISICIONES MAYO 2021]]+Tabla1[[#This Row],[ENTRADAS MAYO 2021]]</f>
        <v>10</v>
      </c>
      <c r="Y674" s="72">
        <f>+Tabla1[[#This Row],[STOCK MAYO 2021]]-Tabla1[[#This Row],[REQUISICIONES JUNIO 2021]]+Tabla1[[#This Row],[ENTRADAS JUNIO 2021]]</f>
        <v>10</v>
      </c>
      <c r="Z674" s="73" t="s">
        <v>105</v>
      </c>
      <c r="AA674" s="76">
        <v>100</v>
      </c>
      <c r="AB674" s="35">
        <f t="shared" si="25"/>
        <v>118</v>
      </c>
      <c r="AC674" s="93">
        <f>Tabla1[[#This Row],[STOCK JUNIO ]]*Tabla1[[#This Row],[COSTO UNITARIO SIN ITBIS]]</f>
        <v>1000</v>
      </c>
    </row>
    <row r="675" spans="1:29" s="8" customFormat="1" x14ac:dyDescent="0.25">
      <c r="A675" s="266">
        <v>10</v>
      </c>
      <c r="B675" s="74">
        <v>44028</v>
      </c>
      <c r="C675" s="28" t="s">
        <v>11</v>
      </c>
      <c r="D675" s="74">
        <v>44028</v>
      </c>
      <c r="E675" s="145"/>
      <c r="F675" s="13"/>
      <c r="G675" s="75" t="s">
        <v>655</v>
      </c>
      <c r="H675" s="72">
        <v>20</v>
      </c>
      <c r="I675" s="72"/>
      <c r="J675" s="72">
        <f>+'INVENTARIO ABRIL-JUNIO 2021'!$H675-'INVENTARIO ABRIL-JUNIO 2021'!$I675</f>
        <v>20</v>
      </c>
      <c r="K675" s="72"/>
      <c r="L675" s="72"/>
      <c r="M675" s="72"/>
      <c r="N675" s="72"/>
      <c r="O675" s="296"/>
      <c r="P675" s="72"/>
      <c r="Q675" s="72"/>
      <c r="R675" s="72"/>
      <c r="S675" s="72"/>
      <c r="T675" s="72"/>
      <c r="U675" s="72">
        <f>+Tabla1[[#This Row],[STOCK    FISICO ENERO 2021]]-Tabla1[[#This Row],[REQUISICIONES FEBRERO 2021]]</f>
        <v>20</v>
      </c>
      <c r="V675" s="72">
        <f>+Tabla1[[#This Row],[STOCK  FEBRERO 2021]]-Tabla1[[#This Row],[REQUISICIONES MARZO 2021]]+Tabla1[[#This Row],[ENTRADAS MARZO 2021]]</f>
        <v>20</v>
      </c>
      <c r="W675" s="72">
        <f>+Tabla1[[#This Row],[STOCK MARZO 2021]]-Tabla1[[#This Row],[REQUISICIONES ABRIL 2021]]+Tabla1[[#This Row],[ENTRADAS ABRIL 2021]]</f>
        <v>20</v>
      </c>
      <c r="X675" s="72">
        <f>+Tabla1[[#This Row],[STOCK ABRIL 2021]]-Tabla1[[#This Row],[REQUISICIONES MAYO 2021]]+Tabla1[[#This Row],[ENTRADAS MAYO 2021]]</f>
        <v>20</v>
      </c>
      <c r="Y675" s="72">
        <f>+Tabla1[[#This Row],[STOCK MAYO 2021]]-Tabla1[[#This Row],[REQUISICIONES JUNIO 2021]]+Tabla1[[#This Row],[ENTRADAS JUNIO 2021]]</f>
        <v>20</v>
      </c>
      <c r="Z675" s="73" t="s">
        <v>184</v>
      </c>
      <c r="AA675" s="76">
        <v>30</v>
      </c>
      <c r="AB675" s="35">
        <f t="shared" si="25"/>
        <v>35.4</v>
      </c>
      <c r="AC675" s="93">
        <f>Tabla1[[#This Row],[STOCK JUNIO ]]*Tabla1[[#This Row],[COSTO UNITARIO SIN ITBIS]]</f>
        <v>600</v>
      </c>
    </row>
    <row r="676" spans="1:29" s="8" customFormat="1" x14ac:dyDescent="0.25">
      <c r="A676" s="266">
        <v>11</v>
      </c>
      <c r="B676" s="31">
        <v>44028</v>
      </c>
      <c r="C676" s="28" t="s">
        <v>11</v>
      </c>
      <c r="D676" s="31">
        <v>44028</v>
      </c>
      <c r="E676" s="137"/>
      <c r="F676" s="13"/>
      <c r="G676" s="75" t="s">
        <v>498</v>
      </c>
      <c r="H676" s="72">
        <v>6</v>
      </c>
      <c r="I676" s="72"/>
      <c r="J676" s="72">
        <f>+'INVENTARIO ABRIL-JUNIO 2021'!$H676-'INVENTARIO ABRIL-JUNIO 2021'!$I676</f>
        <v>6</v>
      </c>
      <c r="K676" s="72"/>
      <c r="L676" s="72"/>
      <c r="M676" s="72"/>
      <c r="N676" s="72"/>
      <c r="O676" s="296"/>
      <c r="P676" s="72"/>
      <c r="Q676" s="72"/>
      <c r="R676" s="72"/>
      <c r="S676" s="72"/>
      <c r="T676" s="72"/>
      <c r="U676" s="72">
        <f>+Tabla1[[#This Row],[STOCK    FISICO ENERO 2021]]-Tabla1[[#This Row],[REQUISICIONES FEBRERO 2021]]</f>
        <v>6</v>
      </c>
      <c r="V676" s="72">
        <f>+Tabla1[[#This Row],[STOCK  FEBRERO 2021]]-Tabla1[[#This Row],[REQUISICIONES MARZO 2021]]+Tabla1[[#This Row],[ENTRADAS MARZO 2021]]</f>
        <v>6</v>
      </c>
      <c r="W676" s="72">
        <f>+Tabla1[[#This Row],[STOCK MARZO 2021]]-Tabla1[[#This Row],[REQUISICIONES ABRIL 2021]]+Tabla1[[#This Row],[ENTRADAS ABRIL 2021]]</f>
        <v>6</v>
      </c>
      <c r="X676" s="72">
        <f>+Tabla1[[#This Row],[STOCK ABRIL 2021]]-Tabla1[[#This Row],[REQUISICIONES MAYO 2021]]+Tabla1[[#This Row],[ENTRADAS MAYO 2021]]</f>
        <v>6</v>
      </c>
      <c r="Y676" s="72">
        <f>+Tabla1[[#This Row],[STOCK MAYO 2021]]-Tabla1[[#This Row],[REQUISICIONES JUNIO 2021]]+Tabla1[[#This Row],[ENTRADAS JUNIO 2021]]</f>
        <v>6</v>
      </c>
      <c r="Z676" s="73" t="s">
        <v>184</v>
      </c>
      <c r="AA676" s="76">
        <v>35</v>
      </c>
      <c r="AB676" s="35">
        <f t="shared" si="25"/>
        <v>41.3</v>
      </c>
      <c r="AC676" s="93">
        <f>Tabla1[[#This Row],[STOCK JUNIO ]]*Tabla1[[#This Row],[COSTO UNITARIO SIN ITBIS]]</f>
        <v>210</v>
      </c>
    </row>
    <row r="677" spans="1:29" s="8" customFormat="1" x14ac:dyDescent="0.25">
      <c r="A677" s="266">
        <v>12</v>
      </c>
      <c r="B677" s="74">
        <v>43223</v>
      </c>
      <c r="C677" s="28" t="s">
        <v>11</v>
      </c>
      <c r="D677" s="74">
        <v>43223</v>
      </c>
      <c r="E677" s="145"/>
      <c r="F677" s="28">
        <v>1543</v>
      </c>
      <c r="G677" s="32" t="s">
        <v>499</v>
      </c>
      <c r="H677" s="63">
        <v>2</v>
      </c>
      <c r="I677" s="63"/>
      <c r="J677" s="63">
        <f>+'INVENTARIO ABRIL-JUNIO 2021'!$H677-'INVENTARIO ABRIL-JUNIO 2021'!$I677</f>
        <v>2</v>
      </c>
      <c r="K677" s="63"/>
      <c r="L677" s="63"/>
      <c r="M677" s="63"/>
      <c r="N677" s="63"/>
      <c r="O677" s="125"/>
      <c r="P677" s="63">
        <v>2</v>
      </c>
      <c r="Q677" s="63"/>
      <c r="R677" s="63"/>
      <c r="S677" s="63"/>
      <c r="T677" s="63"/>
      <c r="U677" s="63">
        <f>+Tabla1[[#This Row],[STOCK    FISICO ENERO 2021]]-Tabla1[[#This Row],[REQUISICIONES FEBRERO 2021]]</f>
        <v>0</v>
      </c>
      <c r="V677" s="63">
        <f>+Tabla1[[#This Row],[STOCK  FEBRERO 2021]]-Tabla1[[#This Row],[REQUISICIONES MARZO 2021]]+Tabla1[[#This Row],[ENTRADAS MARZO 2021]]</f>
        <v>0</v>
      </c>
      <c r="W677" s="63">
        <f>+Tabla1[[#This Row],[STOCK MARZO 2021]]-Tabla1[[#This Row],[REQUISICIONES ABRIL 2021]]+Tabla1[[#This Row],[ENTRADAS ABRIL 2021]]</f>
        <v>0</v>
      </c>
      <c r="X677" s="63">
        <f>+Tabla1[[#This Row],[STOCK ABRIL 2021]]-Tabla1[[#This Row],[REQUISICIONES MAYO 2021]]+Tabla1[[#This Row],[ENTRADAS MAYO 2021]]</f>
        <v>0</v>
      </c>
      <c r="Y677" s="63">
        <f>+Tabla1[[#This Row],[STOCK MAYO 2021]]-Tabla1[[#This Row],[REQUISICIONES JUNIO 2021]]+Tabla1[[#This Row],[ENTRADAS JUNIO 2021]]</f>
        <v>0</v>
      </c>
      <c r="Z677" s="30" t="s">
        <v>12</v>
      </c>
      <c r="AA677" s="34">
        <v>813.56</v>
      </c>
      <c r="AB677" s="35">
        <f t="shared" si="25"/>
        <v>960.00079999999991</v>
      </c>
      <c r="AC677" s="93">
        <f>Tabla1[[#This Row],[STOCK JUNIO ]]*Tabla1[[#This Row],[COSTO UNITARIO SIN ITBIS]]</f>
        <v>0</v>
      </c>
    </row>
    <row r="678" spans="1:29" s="8" customFormat="1" x14ac:dyDescent="0.25">
      <c r="A678" s="266">
        <v>13</v>
      </c>
      <c r="B678" s="31">
        <v>44027</v>
      </c>
      <c r="C678" s="28" t="s">
        <v>11</v>
      </c>
      <c r="D678" s="31">
        <v>44027</v>
      </c>
      <c r="E678" s="137"/>
      <c r="F678" s="13">
        <v>1583</v>
      </c>
      <c r="G678" s="75" t="s">
        <v>500</v>
      </c>
      <c r="H678" s="72">
        <v>18</v>
      </c>
      <c r="I678" s="72">
        <v>1</v>
      </c>
      <c r="J678" s="72">
        <f>+'INVENTARIO ABRIL-JUNIO 2021'!$H678-'INVENTARIO ABRIL-JUNIO 2021'!$I678</f>
        <v>17</v>
      </c>
      <c r="K678" s="72"/>
      <c r="L678" s="72"/>
      <c r="M678" s="72"/>
      <c r="N678" s="72"/>
      <c r="O678" s="296"/>
      <c r="P678" s="72">
        <v>1</v>
      </c>
      <c r="Q678" s="72"/>
      <c r="R678" s="72"/>
      <c r="S678" s="72">
        <v>1</v>
      </c>
      <c r="T678" s="72">
        <v>1</v>
      </c>
      <c r="U678" s="72">
        <f>+Tabla1[[#This Row],[STOCK    FISICO ENERO 2021]]-Tabla1[[#This Row],[REQUISICIONES FEBRERO 2021]]</f>
        <v>16</v>
      </c>
      <c r="V678" s="72">
        <f>+Tabla1[[#This Row],[STOCK  FEBRERO 2021]]-Tabla1[[#This Row],[REQUISICIONES MARZO 2021]]+Tabla1[[#This Row],[ENTRADAS MARZO 2021]]</f>
        <v>16</v>
      </c>
      <c r="W678" s="72">
        <f>+Tabla1[[#This Row],[STOCK MARZO 2021]]-Tabla1[[#This Row],[REQUISICIONES ABRIL 2021]]+Tabla1[[#This Row],[ENTRADAS ABRIL 2021]]</f>
        <v>16</v>
      </c>
      <c r="X678" s="72">
        <f>+Tabla1[[#This Row],[STOCK ABRIL 2021]]-Tabla1[[#This Row],[REQUISICIONES MAYO 2021]]+Tabla1[[#This Row],[ENTRADAS MAYO 2021]]</f>
        <v>15</v>
      </c>
      <c r="Y678" s="72">
        <f>+Tabla1[[#This Row],[STOCK MAYO 2021]]-Tabla1[[#This Row],[REQUISICIONES JUNIO 2021]]+Tabla1[[#This Row],[ENTRADAS JUNIO 2021]]</f>
        <v>14</v>
      </c>
      <c r="Z678" s="73" t="s">
        <v>12</v>
      </c>
      <c r="AA678" s="76">
        <v>25.42</v>
      </c>
      <c r="AB678" s="35">
        <f t="shared" si="25"/>
        <v>29.995600000000003</v>
      </c>
      <c r="AC678" s="93">
        <f>Tabla1[[#This Row],[STOCK JUNIO ]]*Tabla1[[#This Row],[COSTO UNITARIO SIN ITBIS]]</f>
        <v>355.88</v>
      </c>
    </row>
    <row r="679" spans="1:29" s="8" customFormat="1" ht="15.75" customHeight="1" x14ac:dyDescent="0.25">
      <c r="A679" s="266">
        <v>14</v>
      </c>
      <c r="B679" s="74">
        <v>44028</v>
      </c>
      <c r="C679" s="28" t="s">
        <v>11</v>
      </c>
      <c r="D679" s="74">
        <v>44028</v>
      </c>
      <c r="E679" s="145"/>
      <c r="F679" s="28">
        <v>1584</v>
      </c>
      <c r="G679" s="32" t="s">
        <v>501</v>
      </c>
      <c r="H679" s="63">
        <v>15</v>
      </c>
      <c r="I679" s="63">
        <v>1</v>
      </c>
      <c r="J679" s="63">
        <f>+'INVENTARIO ABRIL-JUNIO 2021'!$H679-'INVENTARIO ABRIL-JUNIO 2021'!$I679</f>
        <v>14</v>
      </c>
      <c r="K679" s="63"/>
      <c r="L679" s="63"/>
      <c r="M679" s="63"/>
      <c r="N679" s="63"/>
      <c r="O679" s="125"/>
      <c r="P679" s="63">
        <v>1</v>
      </c>
      <c r="Q679" s="63"/>
      <c r="R679" s="63">
        <v>1</v>
      </c>
      <c r="S679" s="63">
        <f>1+1+2</f>
        <v>4</v>
      </c>
      <c r="T679" s="63">
        <v>3</v>
      </c>
      <c r="U679" s="63">
        <f>+Tabla1[[#This Row],[STOCK    FISICO ENERO 2021]]-Tabla1[[#This Row],[REQUISICIONES FEBRERO 2021]]</f>
        <v>13</v>
      </c>
      <c r="V679" s="63">
        <f>+Tabla1[[#This Row],[STOCK  FEBRERO 2021]]-Tabla1[[#This Row],[REQUISICIONES MARZO 2021]]+Tabla1[[#This Row],[ENTRADAS MARZO 2021]]</f>
        <v>13</v>
      </c>
      <c r="W679" s="63">
        <f>+Tabla1[[#This Row],[STOCK MARZO 2021]]-Tabla1[[#This Row],[REQUISICIONES ABRIL 2021]]+Tabla1[[#This Row],[ENTRADAS ABRIL 2021]]</f>
        <v>12</v>
      </c>
      <c r="X679" s="63">
        <f>+Tabla1[[#This Row],[STOCK ABRIL 2021]]-Tabla1[[#This Row],[REQUISICIONES MAYO 2021]]+Tabla1[[#This Row],[ENTRADAS MAYO 2021]]</f>
        <v>8</v>
      </c>
      <c r="Y679" s="63">
        <f>+Tabla1[[#This Row],[STOCK MAYO 2021]]-Tabla1[[#This Row],[REQUISICIONES JUNIO 2021]]+Tabla1[[#This Row],[ENTRADAS JUNIO 2021]]</f>
        <v>5</v>
      </c>
      <c r="Z679" s="30" t="s">
        <v>12</v>
      </c>
      <c r="AA679" s="34">
        <v>30.51</v>
      </c>
      <c r="AB679" s="35">
        <f t="shared" si="25"/>
        <v>36.001800000000003</v>
      </c>
      <c r="AC679" s="93">
        <f>Tabla1[[#This Row],[STOCK JUNIO ]]*Tabla1[[#This Row],[COSTO UNITARIO SIN ITBIS]]</f>
        <v>152.55000000000001</v>
      </c>
    </row>
    <row r="680" spans="1:29" s="8" customFormat="1" x14ac:dyDescent="0.25">
      <c r="A680" s="266">
        <v>15</v>
      </c>
      <c r="B680" s="31">
        <v>43223</v>
      </c>
      <c r="C680" s="28" t="s">
        <v>11</v>
      </c>
      <c r="D680" s="31">
        <v>43223</v>
      </c>
      <c r="E680" s="137"/>
      <c r="F680" s="28">
        <v>1585</v>
      </c>
      <c r="G680" s="32" t="s">
        <v>502</v>
      </c>
      <c r="H680" s="63">
        <v>7</v>
      </c>
      <c r="I680" s="63"/>
      <c r="J680" s="63">
        <f>+'INVENTARIO ABRIL-JUNIO 2021'!$H680-'INVENTARIO ABRIL-JUNIO 2021'!$I680</f>
        <v>7</v>
      </c>
      <c r="K680" s="63"/>
      <c r="L680" s="63"/>
      <c r="M680" s="63"/>
      <c r="N680" s="63"/>
      <c r="O680" s="125"/>
      <c r="P680" s="63">
        <f>1+1</f>
        <v>2</v>
      </c>
      <c r="Q680" s="63">
        <f>3+1+1</f>
        <v>5</v>
      </c>
      <c r="R680" s="63"/>
      <c r="S680" s="63"/>
      <c r="T680" s="63"/>
      <c r="U680" s="63">
        <f>+Tabla1[[#This Row],[STOCK    FISICO ENERO 2021]]-Tabla1[[#This Row],[REQUISICIONES FEBRERO 2021]]</f>
        <v>5</v>
      </c>
      <c r="V680" s="63">
        <f>+Tabla1[[#This Row],[STOCK  FEBRERO 2021]]-Tabla1[[#This Row],[REQUISICIONES MARZO 2021]]+Tabla1[[#This Row],[ENTRADAS MARZO 2021]]</f>
        <v>0</v>
      </c>
      <c r="W680" s="63">
        <f>+Tabla1[[#This Row],[STOCK MARZO 2021]]-Tabla1[[#This Row],[REQUISICIONES ABRIL 2021]]+Tabla1[[#This Row],[ENTRADAS ABRIL 2021]]</f>
        <v>0</v>
      </c>
      <c r="X680" s="63">
        <f>+Tabla1[[#This Row],[STOCK ABRIL 2021]]-Tabla1[[#This Row],[REQUISICIONES MAYO 2021]]+Tabla1[[#This Row],[ENTRADAS MAYO 2021]]</f>
        <v>0</v>
      </c>
      <c r="Y680" s="63">
        <f>+Tabla1[[#This Row],[STOCK MAYO 2021]]-Tabla1[[#This Row],[REQUISICIONES JUNIO 2021]]+Tabla1[[#This Row],[ENTRADAS JUNIO 2021]]</f>
        <v>0</v>
      </c>
      <c r="Z680" s="30" t="s">
        <v>12</v>
      </c>
      <c r="AA680" s="34">
        <v>50.85</v>
      </c>
      <c r="AB680" s="35">
        <f t="shared" si="25"/>
        <v>60.003</v>
      </c>
      <c r="AC680" s="93">
        <f>Tabla1[[#This Row],[STOCK JUNIO ]]*Tabla1[[#This Row],[COSTO UNITARIO SIN ITBIS]]</f>
        <v>0</v>
      </c>
    </row>
    <row r="681" spans="1:29" s="8" customFormat="1" x14ac:dyDescent="0.25">
      <c r="A681" s="266">
        <v>16</v>
      </c>
      <c r="B681" s="74">
        <v>43223</v>
      </c>
      <c r="C681" s="28" t="s">
        <v>11</v>
      </c>
      <c r="D681" s="74">
        <v>43223</v>
      </c>
      <c r="E681" s="145"/>
      <c r="F681" s="13">
        <v>1586</v>
      </c>
      <c r="G681" s="75" t="s">
        <v>503</v>
      </c>
      <c r="H681" s="72">
        <v>9</v>
      </c>
      <c r="I681" s="72"/>
      <c r="J681" s="72">
        <f>+'INVENTARIO ABRIL-JUNIO 2021'!$H681-'INVENTARIO ABRIL-JUNIO 2021'!$I681</f>
        <v>9</v>
      </c>
      <c r="K681" s="72"/>
      <c r="L681" s="72"/>
      <c r="M681" s="72"/>
      <c r="N681" s="72"/>
      <c r="O681" s="296"/>
      <c r="P681" s="72"/>
      <c r="Q681" s="72"/>
      <c r="R681" s="72">
        <v>3</v>
      </c>
      <c r="S681" s="72"/>
      <c r="T681" s="72">
        <v>1</v>
      </c>
      <c r="U681" s="72">
        <f>+Tabla1[[#This Row],[STOCK    FISICO ENERO 2021]]-Tabla1[[#This Row],[REQUISICIONES FEBRERO 2021]]</f>
        <v>9</v>
      </c>
      <c r="V681" s="72">
        <f>+Tabla1[[#This Row],[STOCK  FEBRERO 2021]]-Tabla1[[#This Row],[REQUISICIONES MARZO 2021]]+Tabla1[[#This Row],[ENTRADAS MARZO 2021]]</f>
        <v>9</v>
      </c>
      <c r="W681" s="72">
        <f>+Tabla1[[#This Row],[STOCK MARZO 2021]]-Tabla1[[#This Row],[REQUISICIONES ABRIL 2021]]+Tabla1[[#This Row],[ENTRADAS ABRIL 2021]]</f>
        <v>6</v>
      </c>
      <c r="X681" s="72">
        <f>+Tabla1[[#This Row],[STOCK ABRIL 2021]]-Tabla1[[#This Row],[REQUISICIONES MAYO 2021]]+Tabla1[[#This Row],[ENTRADAS MAYO 2021]]</f>
        <v>6</v>
      </c>
      <c r="Y681" s="72">
        <f>+Tabla1[[#This Row],[STOCK MAYO 2021]]-Tabla1[[#This Row],[REQUISICIONES JUNIO 2021]]+Tabla1[[#This Row],[ENTRADAS JUNIO 2021]]</f>
        <v>5</v>
      </c>
      <c r="Z681" s="73" t="s">
        <v>12</v>
      </c>
      <c r="AA681" s="76">
        <v>40.68</v>
      </c>
      <c r="AB681" s="35">
        <f t="shared" si="25"/>
        <v>48.002400000000002</v>
      </c>
      <c r="AC681" s="93">
        <f>Tabla1[[#This Row],[STOCK JUNIO ]]*Tabla1[[#This Row],[COSTO UNITARIO SIN ITBIS]]</f>
        <v>203.4</v>
      </c>
    </row>
    <row r="682" spans="1:29" s="8" customFormat="1" x14ac:dyDescent="0.25">
      <c r="A682" s="266">
        <v>17</v>
      </c>
      <c r="B682" s="31">
        <v>44028</v>
      </c>
      <c r="C682" s="28" t="s">
        <v>11</v>
      </c>
      <c r="D682" s="31">
        <v>44028</v>
      </c>
      <c r="E682" s="137"/>
      <c r="F682" s="28">
        <v>1808</v>
      </c>
      <c r="G682" s="32" t="s">
        <v>504</v>
      </c>
      <c r="H682" s="63">
        <v>1</v>
      </c>
      <c r="I682" s="63"/>
      <c r="J682" s="63">
        <f>+'INVENTARIO ABRIL-JUNIO 2021'!$H682-'INVENTARIO ABRIL-JUNIO 2021'!$I682</f>
        <v>1</v>
      </c>
      <c r="K682" s="63"/>
      <c r="L682" s="63"/>
      <c r="M682" s="63"/>
      <c r="N682" s="63"/>
      <c r="O682" s="125"/>
      <c r="P682" s="63"/>
      <c r="Q682" s="63"/>
      <c r="R682" s="63"/>
      <c r="S682" s="63"/>
      <c r="T682" s="63"/>
      <c r="U682" s="63">
        <f>+Tabla1[[#This Row],[STOCK    FISICO ENERO 2021]]-Tabla1[[#This Row],[REQUISICIONES FEBRERO 2021]]</f>
        <v>1</v>
      </c>
      <c r="V682" s="63">
        <f>+Tabla1[[#This Row],[STOCK  FEBRERO 2021]]-Tabla1[[#This Row],[REQUISICIONES MARZO 2021]]+Tabla1[[#This Row],[ENTRADAS MARZO 2021]]</f>
        <v>1</v>
      </c>
      <c r="W682" s="63">
        <f>+Tabla1[[#This Row],[STOCK MARZO 2021]]-Tabla1[[#This Row],[REQUISICIONES ABRIL 2021]]+Tabla1[[#This Row],[ENTRADAS ABRIL 2021]]</f>
        <v>1</v>
      </c>
      <c r="X682" s="63">
        <f>+Tabla1[[#This Row],[STOCK ABRIL 2021]]-Tabla1[[#This Row],[REQUISICIONES MAYO 2021]]+Tabla1[[#This Row],[ENTRADAS MAYO 2021]]</f>
        <v>1</v>
      </c>
      <c r="Y682" s="63">
        <f>+Tabla1[[#This Row],[STOCK MAYO 2021]]-Tabla1[[#This Row],[REQUISICIONES JUNIO 2021]]+Tabla1[[#This Row],[ENTRADAS JUNIO 2021]]</f>
        <v>1</v>
      </c>
      <c r="Z682" s="30" t="s">
        <v>105</v>
      </c>
      <c r="AA682" s="34">
        <v>1774.57</v>
      </c>
      <c r="AB682" s="35">
        <f t="shared" si="25"/>
        <v>2093.9926</v>
      </c>
      <c r="AC682" s="93">
        <f>Tabla1[[#This Row],[STOCK JUNIO ]]*Tabla1[[#This Row],[COSTO UNITARIO SIN ITBIS]]</f>
        <v>1774.57</v>
      </c>
    </row>
    <row r="683" spans="1:29" s="8" customFormat="1" ht="16.5" customHeight="1" x14ac:dyDescent="0.25">
      <c r="A683" s="266">
        <v>18</v>
      </c>
      <c r="B683" s="31">
        <v>44028</v>
      </c>
      <c r="C683" s="28" t="s">
        <v>11</v>
      </c>
      <c r="D683" s="31">
        <v>44028</v>
      </c>
      <c r="E683" s="137"/>
      <c r="F683" s="13">
        <v>1811</v>
      </c>
      <c r="G683" s="75" t="s">
        <v>505</v>
      </c>
      <c r="H683" s="72">
        <v>0</v>
      </c>
      <c r="I683" s="72"/>
      <c r="J683" s="72">
        <f>+'INVENTARIO ABRIL-JUNIO 2021'!$H683-'INVENTARIO ABRIL-JUNIO 2021'!$I683</f>
        <v>0</v>
      </c>
      <c r="K683" s="72"/>
      <c r="L683" s="72"/>
      <c r="M683" s="72"/>
      <c r="N683" s="72"/>
      <c r="O683" s="296"/>
      <c r="P683" s="72"/>
      <c r="Q683" s="72"/>
      <c r="R683" s="72"/>
      <c r="S683" s="72"/>
      <c r="T683" s="72"/>
      <c r="U683" s="72">
        <f>+Tabla1[[#This Row],[STOCK    FISICO ENERO 2021]]-Tabla1[[#This Row],[REQUISICIONES FEBRERO 2021]]</f>
        <v>0</v>
      </c>
      <c r="V683" s="72">
        <f>+Tabla1[[#This Row],[STOCK  FEBRERO 2021]]-Tabla1[[#This Row],[REQUISICIONES MARZO 2021]]+Tabla1[[#This Row],[ENTRADAS MARZO 2021]]</f>
        <v>0</v>
      </c>
      <c r="W683" s="72">
        <f>+Tabla1[[#This Row],[STOCK MARZO 2021]]-Tabla1[[#This Row],[REQUISICIONES ABRIL 2021]]+Tabla1[[#This Row],[ENTRADAS ABRIL 2021]]</f>
        <v>0</v>
      </c>
      <c r="X683" s="72">
        <f>+Tabla1[[#This Row],[STOCK ABRIL 2021]]-Tabla1[[#This Row],[REQUISICIONES MAYO 2021]]+Tabla1[[#This Row],[ENTRADAS MAYO 2021]]</f>
        <v>0</v>
      </c>
      <c r="Y683" s="72">
        <f>+Tabla1[[#This Row],[STOCK MAYO 2021]]-Tabla1[[#This Row],[REQUISICIONES JUNIO 2021]]+Tabla1[[#This Row],[ENTRADAS JUNIO 2021]]</f>
        <v>0</v>
      </c>
      <c r="Z683" s="73" t="s">
        <v>105</v>
      </c>
      <c r="AA683" s="76">
        <v>206.64</v>
      </c>
      <c r="AB683" s="35">
        <f t="shared" si="25"/>
        <v>243.83519999999999</v>
      </c>
      <c r="AC683" s="93">
        <f>Tabla1[[#This Row],[STOCK JUNIO ]]*Tabla1[[#This Row],[COSTO UNITARIO SIN ITBIS]]</f>
        <v>0</v>
      </c>
    </row>
    <row r="684" spans="1:29" s="8" customFormat="1" ht="15.75" customHeight="1" x14ac:dyDescent="0.25">
      <c r="A684" s="266">
        <v>19</v>
      </c>
      <c r="B684" s="31"/>
      <c r="C684" s="28" t="s">
        <v>11</v>
      </c>
      <c r="D684" s="31"/>
      <c r="E684" s="137"/>
      <c r="F684" s="13"/>
      <c r="G684" s="32" t="s">
        <v>682</v>
      </c>
      <c r="H684" s="63">
        <v>2</v>
      </c>
      <c r="I684" s="63"/>
      <c r="J684" s="63">
        <f>+'INVENTARIO ABRIL-JUNIO 2021'!$H684-'INVENTARIO ABRIL-JUNIO 2021'!$I684</f>
        <v>2</v>
      </c>
      <c r="K684" s="63"/>
      <c r="L684" s="63"/>
      <c r="M684" s="63"/>
      <c r="N684" s="63"/>
      <c r="O684" s="125"/>
      <c r="P684" s="63"/>
      <c r="Q684" s="63"/>
      <c r="R684" s="63"/>
      <c r="S684" s="63"/>
      <c r="T684" s="63"/>
      <c r="U684" s="63">
        <f>+Tabla1[[#This Row],[STOCK    FISICO ENERO 2021]]-Tabla1[[#This Row],[REQUISICIONES FEBRERO 2021]]</f>
        <v>2</v>
      </c>
      <c r="V684" s="63">
        <f>+Tabla1[[#This Row],[STOCK  FEBRERO 2021]]-Tabla1[[#This Row],[REQUISICIONES MARZO 2021]]+Tabla1[[#This Row],[ENTRADAS MARZO 2021]]</f>
        <v>2</v>
      </c>
      <c r="W684" s="63">
        <f>+Tabla1[[#This Row],[STOCK MARZO 2021]]-Tabla1[[#This Row],[REQUISICIONES ABRIL 2021]]+Tabla1[[#This Row],[ENTRADAS ABRIL 2021]]</f>
        <v>2</v>
      </c>
      <c r="X684" s="63">
        <f>+Tabla1[[#This Row],[STOCK ABRIL 2021]]-Tabla1[[#This Row],[REQUISICIONES MAYO 2021]]+Tabla1[[#This Row],[ENTRADAS MAYO 2021]]</f>
        <v>2</v>
      </c>
      <c r="Y684" s="63">
        <f>+Tabla1[[#This Row],[STOCK MAYO 2021]]-Tabla1[[#This Row],[REQUISICIONES JUNIO 2021]]+Tabla1[[#This Row],[ENTRADAS JUNIO 2021]]</f>
        <v>2</v>
      </c>
      <c r="Z684" s="73" t="s">
        <v>105</v>
      </c>
      <c r="AA684" s="34">
        <v>0</v>
      </c>
      <c r="AB684" s="35">
        <f t="shared" si="25"/>
        <v>0</v>
      </c>
      <c r="AC684" s="93">
        <f>Tabla1[[#This Row],[STOCK JUNIO ]]*Tabla1[[#This Row],[COSTO UNITARIO SIN ITBIS]]</f>
        <v>0</v>
      </c>
    </row>
    <row r="685" spans="1:29" s="8" customFormat="1" x14ac:dyDescent="0.25">
      <c r="A685" s="266">
        <v>20</v>
      </c>
      <c r="B685" s="31"/>
      <c r="C685" s="28" t="s">
        <v>11</v>
      </c>
      <c r="D685" s="31"/>
      <c r="E685" s="137"/>
      <c r="F685" s="13"/>
      <c r="G685" s="32" t="s">
        <v>660</v>
      </c>
      <c r="H685" s="63">
        <v>2</v>
      </c>
      <c r="I685" s="63"/>
      <c r="J685" s="63">
        <f>+'INVENTARIO ABRIL-JUNIO 2021'!$H685-'INVENTARIO ABRIL-JUNIO 2021'!$I685</f>
        <v>2</v>
      </c>
      <c r="K685" s="63"/>
      <c r="L685" s="63"/>
      <c r="M685" s="63"/>
      <c r="N685" s="63"/>
      <c r="O685" s="125"/>
      <c r="P685" s="63"/>
      <c r="Q685" s="63"/>
      <c r="R685" s="63"/>
      <c r="S685" s="63"/>
      <c r="T685" s="63"/>
      <c r="U685" s="63">
        <f>+Tabla1[[#This Row],[STOCK    FISICO ENERO 2021]]-Tabla1[[#This Row],[REQUISICIONES FEBRERO 2021]]</f>
        <v>2</v>
      </c>
      <c r="V685" s="63">
        <f>+Tabla1[[#This Row],[STOCK  FEBRERO 2021]]-Tabla1[[#This Row],[REQUISICIONES MARZO 2021]]+Tabla1[[#This Row],[ENTRADAS MARZO 2021]]</f>
        <v>2</v>
      </c>
      <c r="W685" s="63">
        <f>+Tabla1[[#This Row],[STOCK MARZO 2021]]-Tabla1[[#This Row],[REQUISICIONES ABRIL 2021]]+Tabla1[[#This Row],[ENTRADAS ABRIL 2021]]</f>
        <v>2</v>
      </c>
      <c r="X685" s="63">
        <f>+Tabla1[[#This Row],[STOCK ABRIL 2021]]-Tabla1[[#This Row],[REQUISICIONES MAYO 2021]]+Tabla1[[#This Row],[ENTRADAS MAYO 2021]]</f>
        <v>2</v>
      </c>
      <c r="Y685" s="63">
        <f>+Tabla1[[#This Row],[STOCK MAYO 2021]]-Tabla1[[#This Row],[REQUISICIONES JUNIO 2021]]+Tabla1[[#This Row],[ENTRADAS JUNIO 2021]]</f>
        <v>2</v>
      </c>
      <c r="Z685" s="73" t="s">
        <v>105</v>
      </c>
      <c r="AA685" s="34">
        <v>0</v>
      </c>
      <c r="AB685" s="35">
        <f t="shared" si="25"/>
        <v>0</v>
      </c>
      <c r="AC685" s="93">
        <f>Tabla1[[#This Row],[STOCK JUNIO ]]*Tabla1[[#This Row],[COSTO UNITARIO SIN ITBIS]]</f>
        <v>0</v>
      </c>
    </row>
    <row r="686" spans="1:29" s="20" customFormat="1" x14ac:dyDescent="0.25">
      <c r="A686" s="266">
        <v>21</v>
      </c>
      <c r="B686" s="31"/>
      <c r="C686" s="28" t="s">
        <v>11</v>
      </c>
      <c r="D686" s="31"/>
      <c r="E686" s="137"/>
      <c r="F686" s="13"/>
      <c r="G686" s="32" t="s">
        <v>662</v>
      </c>
      <c r="H686" s="63">
        <v>2</v>
      </c>
      <c r="I686" s="63"/>
      <c r="J686" s="63">
        <f>+'INVENTARIO ABRIL-JUNIO 2021'!$H686-'INVENTARIO ABRIL-JUNIO 2021'!$I686</f>
        <v>2</v>
      </c>
      <c r="K686" s="63"/>
      <c r="L686" s="63"/>
      <c r="M686" s="63"/>
      <c r="N686" s="63"/>
      <c r="O686" s="125"/>
      <c r="P686" s="63"/>
      <c r="Q686" s="63"/>
      <c r="R686" s="63"/>
      <c r="S686" s="63"/>
      <c r="T686" s="63">
        <v>1</v>
      </c>
      <c r="U686" s="63">
        <f>+Tabla1[[#This Row],[STOCK    FISICO ENERO 2021]]-Tabla1[[#This Row],[REQUISICIONES FEBRERO 2021]]</f>
        <v>2</v>
      </c>
      <c r="V686" s="63">
        <f>+Tabla1[[#This Row],[STOCK  FEBRERO 2021]]-Tabla1[[#This Row],[REQUISICIONES MARZO 2021]]+Tabla1[[#This Row],[ENTRADAS MARZO 2021]]</f>
        <v>2</v>
      </c>
      <c r="W686" s="63">
        <f>+Tabla1[[#This Row],[STOCK MARZO 2021]]-Tabla1[[#This Row],[REQUISICIONES ABRIL 2021]]+Tabla1[[#This Row],[ENTRADAS ABRIL 2021]]</f>
        <v>2</v>
      </c>
      <c r="X686" s="63">
        <f>+Tabla1[[#This Row],[STOCK ABRIL 2021]]-Tabla1[[#This Row],[REQUISICIONES MAYO 2021]]+Tabla1[[#This Row],[ENTRADAS MAYO 2021]]</f>
        <v>2</v>
      </c>
      <c r="Y686" s="63">
        <f>+Tabla1[[#This Row],[STOCK MAYO 2021]]-Tabla1[[#This Row],[REQUISICIONES JUNIO 2021]]+Tabla1[[#This Row],[ENTRADAS JUNIO 2021]]</f>
        <v>1</v>
      </c>
      <c r="Z686" s="73" t="s">
        <v>105</v>
      </c>
      <c r="AA686" s="34">
        <v>0</v>
      </c>
      <c r="AB686" s="35">
        <f t="shared" si="25"/>
        <v>0</v>
      </c>
      <c r="AC686" s="93">
        <f>Tabla1[[#This Row],[STOCK JUNIO ]]*Tabla1[[#This Row],[COSTO UNITARIO SIN ITBIS]]</f>
        <v>0</v>
      </c>
    </row>
    <row r="687" spans="1:29" s="20" customFormat="1" x14ac:dyDescent="0.25">
      <c r="A687" s="266">
        <v>22</v>
      </c>
      <c r="B687" s="31">
        <v>44026</v>
      </c>
      <c r="C687" s="28" t="s">
        <v>11</v>
      </c>
      <c r="D687" s="31">
        <v>44026</v>
      </c>
      <c r="E687" s="137"/>
      <c r="F687" s="13">
        <v>1503</v>
      </c>
      <c r="G687" s="32" t="s">
        <v>506</v>
      </c>
      <c r="H687" s="63">
        <v>700</v>
      </c>
      <c r="I687" s="63"/>
      <c r="J687" s="63">
        <f>+'INVENTARIO ABRIL-JUNIO 2021'!$H687-'INVENTARIO ABRIL-JUNIO 2021'!$I687</f>
        <v>700</v>
      </c>
      <c r="K687" s="63"/>
      <c r="L687" s="63"/>
      <c r="M687" s="63"/>
      <c r="N687" s="63"/>
      <c r="O687" s="125"/>
      <c r="P687" s="63"/>
      <c r="Q687" s="63"/>
      <c r="R687" s="63"/>
      <c r="S687" s="63"/>
      <c r="T687" s="63"/>
      <c r="U687" s="63">
        <f>+Tabla1[[#This Row],[STOCK    FISICO ENERO 2021]]-Tabla1[[#This Row],[REQUISICIONES FEBRERO 2021]]</f>
        <v>700</v>
      </c>
      <c r="V687" s="63">
        <f>+Tabla1[[#This Row],[STOCK  FEBRERO 2021]]-Tabla1[[#This Row],[REQUISICIONES MARZO 2021]]+Tabla1[[#This Row],[ENTRADAS MARZO 2021]]</f>
        <v>700</v>
      </c>
      <c r="W687" s="63">
        <f>+Tabla1[[#This Row],[STOCK MARZO 2021]]-Tabla1[[#This Row],[REQUISICIONES ABRIL 2021]]+Tabla1[[#This Row],[ENTRADAS ABRIL 2021]]</f>
        <v>700</v>
      </c>
      <c r="X687" s="63">
        <f>+Tabla1[[#This Row],[STOCK ABRIL 2021]]-Tabla1[[#This Row],[REQUISICIONES MAYO 2021]]+Tabla1[[#This Row],[ENTRADAS MAYO 2021]]</f>
        <v>700</v>
      </c>
      <c r="Y687" s="63">
        <f>+Tabla1[[#This Row],[STOCK MAYO 2021]]-Tabla1[[#This Row],[REQUISICIONES JUNIO 2021]]+Tabla1[[#This Row],[ENTRADAS JUNIO 2021]]</f>
        <v>700</v>
      </c>
      <c r="Z687" s="30" t="s">
        <v>12</v>
      </c>
      <c r="AA687" s="34">
        <v>2.1800000000000002</v>
      </c>
      <c r="AB687" s="35">
        <f t="shared" ref="AB687:AB694" si="26">AA687*0.18+AA687</f>
        <v>2.5724</v>
      </c>
      <c r="AC687" s="93">
        <f>Tabla1[[#This Row],[STOCK JUNIO ]]*Tabla1[[#This Row],[COSTO UNITARIO SIN ITBIS]]</f>
        <v>1526</v>
      </c>
    </row>
    <row r="688" spans="1:29" s="20" customFormat="1" x14ac:dyDescent="0.25">
      <c r="A688" s="266">
        <v>23</v>
      </c>
      <c r="B688" s="74">
        <v>44027</v>
      </c>
      <c r="C688" s="28" t="s">
        <v>11</v>
      </c>
      <c r="D688" s="74">
        <v>44027</v>
      </c>
      <c r="E688" s="145"/>
      <c r="F688" s="28">
        <v>1434</v>
      </c>
      <c r="G688" s="75" t="s">
        <v>507</v>
      </c>
      <c r="H688" s="72">
        <v>400</v>
      </c>
      <c r="I688" s="72"/>
      <c r="J688" s="72">
        <f>+'INVENTARIO ABRIL-JUNIO 2021'!$H688-'INVENTARIO ABRIL-JUNIO 2021'!$I688</f>
        <v>400</v>
      </c>
      <c r="K688" s="72"/>
      <c r="L688" s="72"/>
      <c r="M688" s="72"/>
      <c r="N688" s="72"/>
      <c r="O688" s="296"/>
      <c r="P688" s="72"/>
      <c r="Q688" s="72"/>
      <c r="R688" s="72">
        <v>40</v>
      </c>
      <c r="S688" s="72"/>
      <c r="T688" s="72"/>
      <c r="U688" s="72">
        <f>+Tabla1[[#This Row],[STOCK    FISICO ENERO 2021]]-Tabla1[[#This Row],[REQUISICIONES FEBRERO 2021]]</f>
        <v>400</v>
      </c>
      <c r="V688" s="72">
        <f>+Tabla1[[#This Row],[STOCK  FEBRERO 2021]]-Tabla1[[#This Row],[REQUISICIONES MARZO 2021]]+Tabla1[[#This Row],[ENTRADAS MARZO 2021]]</f>
        <v>400</v>
      </c>
      <c r="W688" s="72">
        <f>+Tabla1[[#This Row],[STOCK MARZO 2021]]-Tabla1[[#This Row],[REQUISICIONES ABRIL 2021]]+Tabla1[[#This Row],[ENTRADAS ABRIL 2021]]</f>
        <v>360</v>
      </c>
      <c r="X688" s="72">
        <f>+Tabla1[[#This Row],[STOCK ABRIL 2021]]-Tabla1[[#This Row],[REQUISICIONES MAYO 2021]]+Tabla1[[#This Row],[ENTRADAS MAYO 2021]]</f>
        <v>360</v>
      </c>
      <c r="Y688" s="72">
        <f>+Tabla1[[#This Row],[STOCK MAYO 2021]]-Tabla1[[#This Row],[REQUISICIONES JUNIO 2021]]+Tabla1[[#This Row],[ENTRADAS JUNIO 2021]]</f>
        <v>360</v>
      </c>
      <c r="Z688" s="73" t="s">
        <v>12</v>
      </c>
      <c r="AA688" s="76">
        <v>1.8</v>
      </c>
      <c r="AB688" s="35">
        <f t="shared" si="26"/>
        <v>2.1240000000000001</v>
      </c>
      <c r="AC688" s="93">
        <f>Tabla1[[#This Row],[STOCK JUNIO ]]*Tabla1[[#This Row],[COSTO UNITARIO SIN ITBIS]]</f>
        <v>648</v>
      </c>
    </row>
    <row r="689" spans="1:29" s="8" customFormat="1" x14ac:dyDescent="0.25">
      <c r="A689" s="266">
        <v>24</v>
      </c>
      <c r="B689" s="31">
        <v>44027</v>
      </c>
      <c r="C689" s="28" t="s">
        <v>11</v>
      </c>
      <c r="D689" s="31">
        <v>44027</v>
      </c>
      <c r="E689" s="137"/>
      <c r="F689" s="28">
        <v>1523</v>
      </c>
      <c r="G689" s="32" t="s">
        <v>508</v>
      </c>
      <c r="H689" s="63">
        <v>400</v>
      </c>
      <c r="I689" s="63"/>
      <c r="J689" s="63">
        <f>+'INVENTARIO ABRIL-JUNIO 2021'!$H689-'INVENTARIO ABRIL-JUNIO 2021'!$I689</f>
        <v>400</v>
      </c>
      <c r="K689" s="63"/>
      <c r="L689" s="63"/>
      <c r="M689" s="63"/>
      <c r="N689" s="63"/>
      <c r="O689" s="125"/>
      <c r="P689" s="63"/>
      <c r="Q689" s="63"/>
      <c r="R689" s="63"/>
      <c r="S689" s="63"/>
      <c r="T689" s="63"/>
      <c r="U689" s="63">
        <f>+Tabla1[[#This Row],[STOCK    FISICO ENERO 2021]]-Tabla1[[#This Row],[REQUISICIONES FEBRERO 2021]]</f>
        <v>400</v>
      </c>
      <c r="V689" s="63">
        <f>+Tabla1[[#This Row],[STOCK  FEBRERO 2021]]-Tabla1[[#This Row],[REQUISICIONES MARZO 2021]]+Tabla1[[#This Row],[ENTRADAS MARZO 2021]]</f>
        <v>400</v>
      </c>
      <c r="W689" s="63">
        <f>+Tabla1[[#This Row],[STOCK MARZO 2021]]-Tabla1[[#This Row],[REQUISICIONES ABRIL 2021]]+Tabla1[[#This Row],[ENTRADAS ABRIL 2021]]</f>
        <v>400</v>
      </c>
      <c r="X689" s="63">
        <f>+Tabla1[[#This Row],[STOCK ABRIL 2021]]-Tabla1[[#This Row],[REQUISICIONES MAYO 2021]]+Tabla1[[#This Row],[ENTRADAS MAYO 2021]]</f>
        <v>400</v>
      </c>
      <c r="Y689" s="63">
        <f>+Tabla1[[#This Row],[STOCK MAYO 2021]]-Tabla1[[#This Row],[REQUISICIONES JUNIO 2021]]+Tabla1[[#This Row],[ENTRADAS JUNIO 2021]]</f>
        <v>400</v>
      </c>
      <c r="Z689" s="30" t="s">
        <v>12</v>
      </c>
      <c r="AA689" s="34">
        <v>1.8</v>
      </c>
      <c r="AB689" s="35">
        <f t="shared" si="26"/>
        <v>2.1240000000000001</v>
      </c>
      <c r="AC689" s="93">
        <f>Tabla1[[#This Row],[STOCK JUNIO ]]*Tabla1[[#This Row],[COSTO UNITARIO SIN ITBIS]]</f>
        <v>720</v>
      </c>
    </row>
    <row r="690" spans="1:29" s="8" customFormat="1" x14ac:dyDescent="0.25">
      <c r="A690" s="266">
        <v>25</v>
      </c>
      <c r="B690" s="74">
        <v>43089</v>
      </c>
      <c r="C690" s="28" t="s">
        <v>11</v>
      </c>
      <c r="D690" s="74">
        <v>43089</v>
      </c>
      <c r="E690" s="145"/>
      <c r="F690" s="13">
        <v>1524</v>
      </c>
      <c r="G690" s="32" t="s">
        <v>509</v>
      </c>
      <c r="H690" s="63">
        <v>150</v>
      </c>
      <c r="I690" s="63"/>
      <c r="J690" s="63">
        <f>+'INVENTARIO ABRIL-JUNIO 2021'!$H690-'INVENTARIO ABRIL-JUNIO 2021'!$I690</f>
        <v>150</v>
      </c>
      <c r="K690" s="63"/>
      <c r="L690" s="63"/>
      <c r="M690" s="63"/>
      <c r="N690" s="63"/>
      <c r="O690" s="125"/>
      <c r="P690" s="63"/>
      <c r="Q690" s="63"/>
      <c r="R690" s="63"/>
      <c r="S690" s="63"/>
      <c r="T690" s="63"/>
      <c r="U690" s="63">
        <f>+Tabla1[[#This Row],[STOCK    FISICO ENERO 2021]]-Tabla1[[#This Row],[REQUISICIONES FEBRERO 2021]]</f>
        <v>150</v>
      </c>
      <c r="V690" s="63">
        <f>+Tabla1[[#This Row],[STOCK  FEBRERO 2021]]-Tabla1[[#This Row],[REQUISICIONES MARZO 2021]]+Tabla1[[#This Row],[ENTRADAS MARZO 2021]]</f>
        <v>150</v>
      </c>
      <c r="W690" s="63">
        <f>+Tabla1[[#This Row],[STOCK MARZO 2021]]-Tabla1[[#This Row],[REQUISICIONES ABRIL 2021]]+Tabla1[[#This Row],[ENTRADAS ABRIL 2021]]</f>
        <v>150</v>
      </c>
      <c r="X690" s="63">
        <f>+Tabla1[[#This Row],[STOCK ABRIL 2021]]-Tabla1[[#This Row],[REQUISICIONES MAYO 2021]]+Tabla1[[#This Row],[ENTRADAS MAYO 2021]]</f>
        <v>150</v>
      </c>
      <c r="Y690" s="63">
        <f>+Tabla1[[#This Row],[STOCK MAYO 2021]]-Tabla1[[#This Row],[REQUISICIONES JUNIO 2021]]+Tabla1[[#This Row],[ENTRADAS JUNIO 2021]]</f>
        <v>150</v>
      </c>
      <c r="Z690" s="30" t="s">
        <v>12</v>
      </c>
      <c r="AA690" s="34">
        <v>42.71</v>
      </c>
      <c r="AB690" s="35">
        <f t="shared" si="26"/>
        <v>50.397800000000004</v>
      </c>
      <c r="AC690" s="93">
        <f>Tabla1[[#This Row],[STOCK JUNIO ]]*Tabla1[[#This Row],[COSTO UNITARIO SIN ITBIS]]</f>
        <v>6406.5</v>
      </c>
    </row>
    <row r="691" spans="1:29" s="8" customFormat="1" x14ac:dyDescent="0.25">
      <c r="A691" s="266">
        <v>26</v>
      </c>
      <c r="B691" s="31">
        <v>44028</v>
      </c>
      <c r="C691" s="28" t="s">
        <v>11</v>
      </c>
      <c r="D691" s="31">
        <v>44028</v>
      </c>
      <c r="E691" s="137"/>
      <c r="F691" s="28">
        <v>1525</v>
      </c>
      <c r="G691" s="75" t="s">
        <v>510</v>
      </c>
      <c r="H691" s="72">
        <v>0</v>
      </c>
      <c r="I691" s="72"/>
      <c r="J691" s="72">
        <f>+'INVENTARIO ABRIL-JUNIO 2021'!$H691-'INVENTARIO ABRIL-JUNIO 2021'!$I691</f>
        <v>0</v>
      </c>
      <c r="K691" s="72"/>
      <c r="L691" s="72"/>
      <c r="M691" s="72"/>
      <c r="N691" s="72"/>
      <c r="O691" s="296"/>
      <c r="P691" s="72"/>
      <c r="Q691" s="72"/>
      <c r="R691" s="72"/>
      <c r="S691" s="72"/>
      <c r="T691" s="72"/>
      <c r="U691" s="72">
        <f>+Tabla1[[#This Row],[STOCK    FISICO ENERO 2021]]-Tabla1[[#This Row],[REQUISICIONES FEBRERO 2021]]</f>
        <v>0</v>
      </c>
      <c r="V691" s="72">
        <f>+Tabla1[[#This Row],[STOCK  FEBRERO 2021]]-Tabla1[[#This Row],[REQUISICIONES MARZO 2021]]+Tabla1[[#This Row],[ENTRADAS MARZO 2021]]</f>
        <v>0</v>
      </c>
      <c r="W691" s="72">
        <f>+Tabla1[[#This Row],[STOCK MARZO 2021]]-Tabla1[[#This Row],[REQUISICIONES ABRIL 2021]]+Tabla1[[#This Row],[ENTRADAS ABRIL 2021]]</f>
        <v>0</v>
      </c>
      <c r="X691" s="72">
        <f>+Tabla1[[#This Row],[STOCK ABRIL 2021]]-Tabla1[[#This Row],[REQUISICIONES MAYO 2021]]+Tabla1[[#This Row],[ENTRADAS MAYO 2021]]</f>
        <v>0</v>
      </c>
      <c r="Y691" s="72">
        <f>+Tabla1[[#This Row],[STOCK MAYO 2021]]-Tabla1[[#This Row],[REQUISICIONES JUNIO 2021]]+Tabla1[[#This Row],[ENTRADAS JUNIO 2021]]</f>
        <v>0</v>
      </c>
      <c r="Z691" s="30" t="s">
        <v>12</v>
      </c>
      <c r="AA691" s="76">
        <v>42.71</v>
      </c>
      <c r="AB691" s="35">
        <f t="shared" si="26"/>
        <v>50.397800000000004</v>
      </c>
      <c r="AC691" s="93">
        <f>Tabla1[[#This Row],[STOCK JUNIO ]]*Tabla1[[#This Row],[COSTO UNITARIO SIN ITBIS]]</f>
        <v>0</v>
      </c>
    </row>
    <row r="692" spans="1:29" s="8" customFormat="1" x14ac:dyDescent="0.25">
      <c r="A692" s="266">
        <v>27</v>
      </c>
      <c r="B692" s="74">
        <v>43223</v>
      </c>
      <c r="C692" s="28" t="s">
        <v>11</v>
      </c>
      <c r="D692" s="74">
        <v>43223</v>
      </c>
      <c r="E692" s="145"/>
      <c r="F692" s="13">
        <v>1728</v>
      </c>
      <c r="G692" s="32" t="s">
        <v>511</v>
      </c>
      <c r="H692" s="63">
        <v>500</v>
      </c>
      <c r="I692" s="63"/>
      <c r="J692" s="63">
        <f>+'INVENTARIO ABRIL-JUNIO 2021'!$H692-'INVENTARIO ABRIL-JUNIO 2021'!$I692</f>
        <v>500</v>
      </c>
      <c r="K692" s="63"/>
      <c r="L692" s="63"/>
      <c r="M692" s="63"/>
      <c r="N692" s="63"/>
      <c r="O692" s="125"/>
      <c r="P692" s="63"/>
      <c r="Q692" s="63"/>
      <c r="R692" s="63"/>
      <c r="S692" s="63"/>
      <c r="T692" s="63"/>
      <c r="U692" s="63">
        <f>+Tabla1[[#This Row],[STOCK    FISICO ENERO 2021]]-Tabla1[[#This Row],[REQUISICIONES FEBRERO 2021]]</f>
        <v>500</v>
      </c>
      <c r="V692" s="63">
        <f>+Tabla1[[#This Row],[STOCK  FEBRERO 2021]]-Tabla1[[#This Row],[REQUISICIONES MARZO 2021]]+Tabla1[[#This Row],[ENTRADAS MARZO 2021]]</f>
        <v>500</v>
      </c>
      <c r="W692" s="63">
        <f>+Tabla1[[#This Row],[STOCK MARZO 2021]]-Tabla1[[#This Row],[REQUISICIONES ABRIL 2021]]+Tabla1[[#This Row],[ENTRADAS ABRIL 2021]]</f>
        <v>500</v>
      </c>
      <c r="X692" s="63">
        <f>+Tabla1[[#This Row],[STOCK ABRIL 2021]]-Tabla1[[#This Row],[REQUISICIONES MAYO 2021]]+Tabla1[[#This Row],[ENTRADAS MAYO 2021]]</f>
        <v>500</v>
      </c>
      <c r="Y692" s="63">
        <f>+Tabla1[[#This Row],[STOCK MAYO 2021]]-Tabla1[[#This Row],[REQUISICIONES JUNIO 2021]]+Tabla1[[#This Row],[ENTRADAS JUNIO 2021]]</f>
        <v>500</v>
      </c>
      <c r="Z692" s="30" t="s">
        <v>12</v>
      </c>
      <c r="AA692" s="34">
        <v>42.71</v>
      </c>
      <c r="AB692" s="35">
        <f t="shared" si="26"/>
        <v>50.397800000000004</v>
      </c>
      <c r="AC692" s="93">
        <f>Tabla1[[#This Row],[STOCK JUNIO ]]*Tabla1[[#This Row],[COSTO UNITARIO SIN ITBIS]]</f>
        <v>21355</v>
      </c>
    </row>
    <row r="693" spans="1:29" s="8" customFormat="1" x14ac:dyDescent="0.25">
      <c r="A693" s="266">
        <v>28</v>
      </c>
      <c r="B693" s="31"/>
      <c r="C693" s="28" t="s">
        <v>11</v>
      </c>
      <c r="D693" s="31"/>
      <c r="E693" s="137"/>
      <c r="F693" s="13"/>
      <c r="G693" s="32" t="s">
        <v>684</v>
      </c>
      <c r="H693" s="63">
        <v>50</v>
      </c>
      <c r="I693" s="63"/>
      <c r="J693" s="63">
        <f>+'INVENTARIO ABRIL-JUNIO 2021'!$H693-'INVENTARIO ABRIL-JUNIO 2021'!$I693</f>
        <v>50</v>
      </c>
      <c r="K693" s="63"/>
      <c r="L693" s="63"/>
      <c r="M693" s="63"/>
      <c r="N693" s="63"/>
      <c r="O693" s="125"/>
      <c r="P693" s="63">
        <v>3</v>
      </c>
      <c r="Q693" s="63"/>
      <c r="R693" s="63"/>
      <c r="S693" s="63"/>
      <c r="T693" s="63"/>
      <c r="U693" s="63">
        <f>+Tabla1[[#This Row],[STOCK    FISICO ENERO 2021]]-Tabla1[[#This Row],[REQUISICIONES FEBRERO 2021]]</f>
        <v>47</v>
      </c>
      <c r="V693" s="63">
        <f>+Tabla1[[#This Row],[STOCK  FEBRERO 2021]]-Tabla1[[#This Row],[REQUISICIONES MARZO 2021]]+Tabla1[[#This Row],[ENTRADAS MARZO 2021]]</f>
        <v>47</v>
      </c>
      <c r="W693" s="63">
        <f>+Tabla1[[#This Row],[STOCK MARZO 2021]]-Tabla1[[#This Row],[REQUISICIONES ABRIL 2021]]+Tabla1[[#This Row],[ENTRADAS ABRIL 2021]]</f>
        <v>47</v>
      </c>
      <c r="X693" s="63">
        <f>+Tabla1[[#This Row],[STOCK ABRIL 2021]]-Tabla1[[#This Row],[REQUISICIONES MAYO 2021]]+Tabla1[[#This Row],[ENTRADAS MAYO 2021]]</f>
        <v>47</v>
      </c>
      <c r="Y693" s="63">
        <f>+Tabla1[[#This Row],[STOCK MAYO 2021]]-Tabla1[[#This Row],[REQUISICIONES JUNIO 2021]]+Tabla1[[#This Row],[ENTRADAS JUNIO 2021]]</f>
        <v>47</v>
      </c>
      <c r="Z693" s="30" t="s">
        <v>12</v>
      </c>
      <c r="AA693" s="34">
        <v>0</v>
      </c>
      <c r="AB693" s="35">
        <f t="shared" si="26"/>
        <v>0</v>
      </c>
      <c r="AC693" s="93">
        <f>Tabla1[[#This Row],[STOCK JUNIO ]]*Tabla1[[#This Row],[COSTO UNITARIO SIN ITBIS]]</f>
        <v>0</v>
      </c>
    </row>
    <row r="694" spans="1:29" s="8" customFormat="1" x14ac:dyDescent="0.25">
      <c r="A694" s="266">
        <v>29</v>
      </c>
      <c r="B694" s="31"/>
      <c r="C694" s="28" t="s">
        <v>11</v>
      </c>
      <c r="D694" s="31"/>
      <c r="E694" s="137"/>
      <c r="F694" s="13"/>
      <c r="G694" s="32" t="s">
        <v>683</v>
      </c>
      <c r="H694" s="63">
        <v>50</v>
      </c>
      <c r="I694" s="63"/>
      <c r="J694" s="63">
        <f>+'INVENTARIO ABRIL-JUNIO 2021'!$H694-'INVENTARIO ABRIL-JUNIO 2021'!$I694</f>
        <v>50</v>
      </c>
      <c r="K694" s="63"/>
      <c r="L694" s="63"/>
      <c r="M694" s="63"/>
      <c r="N694" s="63"/>
      <c r="O694" s="125"/>
      <c r="P694" s="63"/>
      <c r="Q694" s="63"/>
      <c r="R694" s="63"/>
      <c r="S694" s="63"/>
      <c r="T694" s="63"/>
      <c r="U694" s="63">
        <f>+Tabla1[[#This Row],[STOCK    FISICO ENERO 2021]]-Tabla1[[#This Row],[REQUISICIONES FEBRERO 2021]]</f>
        <v>50</v>
      </c>
      <c r="V694" s="63">
        <f>+Tabla1[[#This Row],[STOCK  FEBRERO 2021]]-Tabla1[[#This Row],[REQUISICIONES MARZO 2021]]+Tabla1[[#This Row],[ENTRADAS MARZO 2021]]</f>
        <v>50</v>
      </c>
      <c r="W694" s="63">
        <f>+Tabla1[[#This Row],[STOCK MARZO 2021]]-Tabla1[[#This Row],[REQUISICIONES ABRIL 2021]]+Tabla1[[#This Row],[ENTRADAS ABRIL 2021]]</f>
        <v>50</v>
      </c>
      <c r="X694" s="63">
        <f>+Tabla1[[#This Row],[STOCK ABRIL 2021]]-Tabla1[[#This Row],[REQUISICIONES MAYO 2021]]+Tabla1[[#This Row],[ENTRADAS MAYO 2021]]</f>
        <v>50</v>
      </c>
      <c r="Y694" s="63">
        <f>+Tabla1[[#This Row],[STOCK MAYO 2021]]-Tabla1[[#This Row],[REQUISICIONES JUNIO 2021]]+Tabla1[[#This Row],[ENTRADAS JUNIO 2021]]</f>
        <v>50</v>
      </c>
      <c r="Z694" s="30" t="s">
        <v>12</v>
      </c>
      <c r="AA694" s="34">
        <v>0</v>
      </c>
      <c r="AB694" s="35">
        <f t="shared" si="26"/>
        <v>0</v>
      </c>
      <c r="AC694" s="93">
        <f>Tabla1[[#This Row],[STOCK JUNIO ]]*Tabla1[[#This Row],[COSTO UNITARIO SIN ITBIS]]</f>
        <v>0</v>
      </c>
    </row>
    <row r="695" spans="1:29" s="8" customFormat="1" x14ac:dyDescent="0.25">
      <c r="A695" s="266">
        <v>30</v>
      </c>
      <c r="B695" s="31">
        <v>43453</v>
      </c>
      <c r="C695" s="28" t="s">
        <v>11</v>
      </c>
      <c r="D695" s="31">
        <v>43453</v>
      </c>
      <c r="E695" s="137"/>
      <c r="F695" s="28">
        <v>1565</v>
      </c>
      <c r="G695" s="75" t="s">
        <v>512</v>
      </c>
      <c r="H695" s="72">
        <v>8</v>
      </c>
      <c r="I695" s="72"/>
      <c r="J695" s="72">
        <f>+'INVENTARIO ABRIL-JUNIO 2021'!$H695-'INVENTARIO ABRIL-JUNIO 2021'!$I695</f>
        <v>8</v>
      </c>
      <c r="K695" s="72"/>
      <c r="L695" s="72"/>
      <c r="M695" s="72"/>
      <c r="N695" s="72"/>
      <c r="O695" s="296"/>
      <c r="P695" s="72"/>
      <c r="Q695" s="72"/>
      <c r="R695" s="72"/>
      <c r="S695" s="72"/>
      <c r="T695" s="72"/>
      <c r="U695" s="72">
        <f>+Tabla1[[#This Row],[STOCK    FISICO ENERO 2021]]-Tabla1[[#This Row],[REQUISICIONES FEBRERO 2021]]</f>
        <v>8</v>
      </c>
      <c r="V695" s="72">
        <f>+Tabla1[[#This Row],[STOCK  FEBRERO 2021]]-Tabla1[[#This Row],[REQUISICIONES MARZO 2021]]+Tabla1[[#This Row],[ENTRADAS MARZO 2021]]</f>
        <v>8</v>
      </c>
      <c r="W695" s="72">
        <f>+Tabla1[[#This Row],[STOCK MARZO 2021]]-Tabla1[[#This Row],[REQUISICIONES ABRIL 2021]]+Tabla1[[#This Row],[ENTRADAS ABRIL 2021]]</f>
        <v>8</v>
      </c>
      <c r="X695" s="72">
        <f>+Tabla1[[#This Row],[STOCK ABRIL 2021]]-Tabla1[[#This Row],[REQUISICIONES MAYO 2021]]+Tabla1[[#This Row],[ENTRADAS MAYO 2021]]</f>
        <v>8</v>
      </c>
      <c r="Y695" s="72">
        <f>+Tabla1[[#This Row],[STOCK MAYO 2021]]-Tabla1[[#This Row],[REQUISICIONES JUNIO 2021]]+Tabla1[[#This Row],[ENTRADAS JUNIO 2021]]</f>
        <v>8</v>
      </c>
      <c r="Z695" s="73" t="s">
        <v>12</v>
      </c>
      <c r="AA695" s="76">
        <v>10.16</v>
      </c>
      <c r="AB695" s="35">
        <f>AA695*0.18+AA695</f>
        <v>11.988799999999999</v>
      </c>
      <c r="AC695" s="93">
        <f>Tabla1[[#This Row],[STOCK JUNIO ]]*Tabla1[[#This Row],[COSTO UNITARIO SIN ITBIS]]</f>
        <v>81.28</v>
      </c>
    </row>
    <row r="696" spans="1:29" s="8" customFormat="1" x14ac:dyDescent="0.25">
      <c r="A696" s="266">
        <v>31</v>
      </c>
      <c r="B696" s="74">
        <v>43664</v>
      </c>
      <c r="C696" s="28" t="s">
        <v>11</v>
      </c>
      <c r="D696" s="74">
        <v>43767</v>
      </c>
      <c r="E696" s="145"/>
      <c r="F696" s="13">
        <v>1071</v>
      </c>
      <c r="G696" s="32" t="s">
        <v>513</v>
      </c>
      <c r="H696" s="63">
        <v>4</v>
      </c>
      <c r="I696" s="63"/>
      <c r="J696" s="63">
        <f>+'INVENTARIO ABRIL-JUNIO 2021'!$H696-'INVENTARIO ABRIL-JUNIO 2021'!$I696</f>
        <v>4</v>
      </c>
      <c r="K696" s="63"/>
      <c r="L696" s="63"/>
      <c r="M696" s="63"/>
      <c r="N696" s="63"/>
      <c r="O696" s="125"/>
      <c r="P696" s="63"/>
      <c r="Q696" s="63">
        <v>1</v>
      </c>
      <c r="R696" s="63"/>
      <c r="S696" s="63"/>
      <c r="T696" s="63">
        <v>1</v>
      </c>
      <c r="U696" s="63">
        <f>+Tabla1[[#This Row],[STOCK    FISICO ENERO 2021]]-Tabla1[[#This Row],[REQUISICIONES FEBRERO 2021]]</f>
        <v>4</v>
      </c>
      <c r="V696" s="63">
        <f>+Tabla1[[#This Row],[STOCK  FEBRERO 2021]]-Tabla1[[#This Row],[REQUISICIONES MARZO 2021]]+Tabla1[[#This Row],[ENTRADAS MARZO 2021]]</f>
        <v>3</v>
      </c>
      <c r="W696" s="63">
        <f>+Tabla1[[#This Row],[STOCK MARZO 2021]]-Tabla1[[#This Row],[REQUISICIONES ABRIL 2021]]+Tabla1[[#This Row],[ENTRADAS ABRIL 2021]]</f>
        <v>3</v>
      </c>
      <c r="X696" s="63">
        <f>+Tabla1[[#This Row],[STOCK ABRIL 2021]]-Tabla1[[#This Row],[REQUISICIONES MAYO 2021]]+Tabla1[[#This Row],[ENTRADAS MAYO 2021]]</f>
        <v>3</v>
      </c>
      <c r="Y696" s="63">
        <f>+Tabla1[[#This Row],[STOCK MAYO 2021]]-Tabla1[[#This Row],[REQUISICIONES JUNIO 2021]]+Tabla1[[#This Row],[ENTRADAS JUNIO 2021]]</f>
        <v>2</v>
      </c>
      <c r="Z696" s="30" t="s">
        <v>12</v>
      </c>
      <c r="AA696" s="34">
        <v>1077.3</v>
      </c>
      <c r="AB696" s="35">
        <f>AA696*0.18+AA696</f>
        <v>1271.2139999999999</v>
      </c>
      <c r="AC696" s="93">
        <f>Tabla1[[#This Row],[STOCK JUNIO ]]*Tabla1[[#This Row],[COSTO UNITARIO SIN ITBIS]]</f>
        <v>2154.6</v>
      </c>
    </row>
    <row r="697" spans="1:29" s="8" customFormat="1" x14ac:dyDescent="0.25">
      <c r="A697" s="266">
        <v>32</v>
      </c>
      <c r="B697" s="31">
        <v>44026</v>
      </c>
      <c r="C697" s="28" t="s">
        <v>11</v>
      </c>
      <c r="D697" s="31">
        <v>44026</v>
      </c>
      <c r="E697" s="137"/>
      <c r="F697" s="28" t="s">
        <v>20</v>
      </c>
      <c r="G697" s="75" t="s">
        <v>514</v>
      </c>
      <c r="H697" s="72">
        <v>16</v>
      </c>
      <c r="I697" s="72"/>
      <c r="J697" s="72">
        <f>+'INVENTARIO ABRIL-JUNIO 2021'!$H697-'INVENTARIO ABRIL-JUNIO 2021'!$I697</f>
        <v>16</v>
      </c>
      <c r="K697" s="72"/>
      <c r="L697" s="72"/>
      <c r="M697" s="72"/>
      <c r="N697" s="72"/>
      <c r="O697" s="296"/>
      <c r="P697" s="72"/>
      <c r="Q697" s="72"/>
      <c r="R697" s="72"/>
      <c r="S697" s="72"/>
      <c r="T697" s="72"/>
      <c r="U697" s="72">
        <f>+Tabla1[[#This Row],[STOCK    FISICO ENERO 2021]]-Tabla1[[#This Row],[REQUISICIONES FEBRERO 2021]]</f>
        <v>16</v>
      </c>
      <c r="V697" s="72">
        <f>+Tabla1[[#This Row],[STOCK  FEBRERO 2021]]-Tabla1[[#This Row],[REQUISICIONES MARZO 2021]]+Tabla1[[#This Row],[ENTRADAS MARZO 2021]]</f>
        <v>16</v>
      </c>
      <c r="W697" s="72">
        <f>+Tabla1[[#This Row],[STOCK MARZO 2021]]-Tabla1[[#This Row],[REQUISICIONES ABRIL 2021]]+Tabla1[[#This Row],[ENTRADAS ABRIL 2021]]</f>
        <v>16</v>
      </c>
      <c r="X697" s="72">
        <f>+Tabla1[[#This Row],[STOCK ABRIL 2021]]-Tabla1[[#This Row],[REQUISICIONES MAYO 2021]]+Tabla1[[#This Row],[ENTRADAS MAYO 2021]]</f>
        <v>16</v>
      </c>
      <c r="Y697" s="72">
        <f>+Tabla1[[#This Row],[STOCK MAYO 2021]]-Tabla1[[#This Row],[REQUISICIONES JUNIO 2021]]+Tabla1[[#This Row],[ENTRADAS JUNIO 2021]]</f>
        <v>16</v>
      </c>
      <c r="Z697" s="30" t="s">
        <v>12</v>
      </c>
      <c r="AA697" s="76">
        <v>205.8</v>
      </c>
      <c r="AB697" s="35">
        <f>AA697*0.18+AA697</f>
        <v>242.84400000000002</v>
      </c>
      <c r="AC697" s="93">
        <f>Tabla1[[#This Row],[STOCK JUNIO ]]*Tabla1[[#This Row],[COSTO UNITARIO SIN ITBIS]]</f>
        <v>3292.8</v>
      </c>
    </row>
    <row r="698" spans="1:29" s="8" customFormat="1" x14ac:dyDescent="0.25">
      <c r="A698" s="266">
        <v>33</v>
      </c>
      <c r="B698" s="74">
        <v>44027</v>
      </c>
      <c r="C698" s="28" t="s">
        <v>11</v>
      </c>
      <c r="D698" s="74">
        <v>44027</v>
      </c>
      <c r="E698" s="145"/>
      <c r="F698" s="13">
        <v>1557</v>
      </c>
      <c r="G698" s="32" t="s">
        <v>515</v>
      </c>
      <c r="H698" s="63">
        <v>42</v>
      </c>
      <c r="I698" s="63"/>
      <c r="J698" s="63">
        <f>+'INVENTARIO ABRIL-JUNIO 2021'!$H698-'INVENTARIO ABRIL-JUNIO 2021'!$I698</f>
        <v>42</v>
      </c>
      <c r="K698" s="63"/>
      <c r="L698" s="63"/>
      <c r="M698" s="63"/>
      <c r="N698" s="63"/>
      <c r="O698" s="125"/>
      <c r="P698" s="63"/>
      <c r="Q698" s="63"/>
      <c r="R698" s="63"/>
      <c r="S698" s="63"/>
      <c r="T698" s="63"/>
      <c r="U698" s="63">
        <f>+Tabla1[[#This Row],[STOCK    FISICO ENERO 2021]]-Tabla1[[#This Row],[REQUISICIONES FEBRERO 2021]]</f>
        <v>42</v>
      </c>
      <c r="V698" s="63">
        <f>+Tabla1[[#This Row],[STOCK  FEBRERO 2021]]-Tabla1[[#This Row],[REQUISICIONES MARZO 2021]]+Tabla1[[#This Row],[ENTRADAS MARZO 2021]]</f>
        <v>42</v>
      </c>
      <c r="W698" s="63">
        <f>+Tabla1[[#This Row],[STOCK MARZO 2021]]-Tabla1[[#This Row],[REQUISICIONES ABRIL 2021]]+Tabla1[[#This Row],[ENTRADAS ABRIL 2021]]</f>
        <v>42</v>
      </c>
      <c r="X698" s="63">
        <f>+Tabla1[[#This Row],[STOCK ABRIL 2021]]-Tabla1[[#This Row],[REQUISICIONES MAYO 2021]]+Tabla1[[#This Row],[ENTRADAS MAYO 2021]]</f>
        <v>42</v>
      </c>
      <c r="Y698" s="63">
        <f>+Tabla1[[#This Row],[STOCK MAYO 2021]]-Tabla1[[#This Row],[REQUISICIONES JUNIO 2021]]+Tabla1[[#This Row],[ENTRADAS JUNIO 2021]]</f>
        <v>42</v>
      </c>
      <c r="Z698" s="30" t="s">
        <v>12</v>
      </c>
      <c r="AA698" s="34">
        <v>254.23</v>
      </c>
      <c r="AB698" s="35">
        <f>AA698*0.18+AA698</f>
        <v>299.9914</v>
      </c>
      <c r="AC698" s="93">
        <f>Tabla1[[#This Row],[STOCK JUNIO ]]*Tabla1[[#This Row],[COSTO UNITARIO SIN ITBIS]]</f>
        <v>10677.66</v>
      </c>
    </row>
    <row r="699" spans="1:29" s="8" customFormat="1" x14ac:dyDescent="0.25">
      <c r="A699" s="266">
        <v>34</v>
      </c>
      <c r="B699" s="31">
        <v>44026</v>
      </c>
      <c r="C699" s="28" t="s">
        <v>11</v>
      </c>
      <c r="D699" s="31">
        <v>44026</v>
      </c>
      <c r="E699" s="137"/>
      <c r="F699" s="28">
        <v>1079</v>
      </c>
      <c r="G699" s="75" t="s">
        <v>516</v>
      </c>
      <c r="H699" s="72">
        <v>37</v>
      </c>
      <c r="I699" s="72"/>
      <c r="J699" s="72">
        <f>+'INVENTARIO ABRIL-JUNIO 2021'!$H699-'INVENTARIO ABRIL-JUNIO 2021'!$I699</f>
        <v>37</v>
      </c>
      <c r="K699" s="72"/>
      <c r="L699" s="72"/>
      <c r="M699" s="72"/>
      <c r="N699" s="72"/>
      <c r="O699" s="296"/>
      <c r="P699" s="72"/>
      <c r="Q699" s="72">
        <v>2</v>
      </c>
      <c r="R699" s="72">
        <f>2+1+1</f>
        <v>4</v>
      </c>
      <c r="S699" s="72">
        <f>1+1+2+2</f>
        <v>6</v>
      </c>
      <c r="T699" s="72">
        <f>2+2+6</f>
        <v>10</v>
      </c>
      <c r="U699" s="72">
        <f>+Tabla1[[#This Row],[STOCK    FISICO ENERO 2021]]-Tabla1[[#This Row],[REQUISICIONES FEBRERO 2021]]</f>
        <v>37</v>
      </c>
      <c r="V699" s="72">
        <f>+Tabla1[[#This Row],[STOCK  FEBRERO 2021]]-Tabla1[[#This Row],[REQUISICIONES MARZO 2021]]+Tabla1[[#This Row],[ENTRADAS MARZO 2021]]</f>
        <v>35</v>
      </c>
      <c r="W699" s="72">
        <f>+Tabla1[[#This Row],[STOCK MARZO 2021]]-Tabla1[[#This Row],[REQUISICIONES ABRIL 2021]]+Tabla1[[#This Row],[ENTRADAS ABRIL 2021]]</f>
        <v>31</v>
      </c>
      <c r="X699" s="72">
        <f>+Tabla1[[#This Row],[STOCK ABRIL 2021]]-Tabla1[[#This Row],[REQUISICIONES MAYO 2021]]+Tabla1[[#This Row],[ENTRADAS MAYO 2021]]</f>
        <v>25</v>
      </c>
      <c r="Y699" s="72">
        <f>+Tabla1[[#This Row],[STOCK MAYO 2021]]-Tabla1[[#This Row],[REQUISICIONES JUNIO 2021]]+Tabla1[[#This Row],[ENTRADAS JUNIO 2021]]</f>
        <v>15</v>
      </c>
      <c r="Z699" s="73" t="s">
        <v>105</v>
      </c>
      <c r="AA699" s="76">
        <v>30.51</v>
      </c>
      <c r="AB699" s="35">
        <f>AA699*0.18+AA699</f>
        <v>36.001800000000003</v>
      </c>
      <c r="AC699" s="93">
        <f>Tabla1[[#This Row],[STOCK JUNIO ]]*Tabla1[[#This Row],[COSTO UNITARIO SIN ITBIS]]</f>
        <v>457.65000000000003</v>
      </c>
    </row>
    <row r="700" spans="1:29" s="8" customFormat="1" x14ac:dyDescent="0.25">
      <c r="A700" s="266">
        <v>35</v>
      </c>
      <c r="B700" s="31"/>
      <c r="C700" s="28" t="s">
        <v>11</v>
      </c>
      <c r="D700" s="31"/>
      <c r="E700" s="137"/>
      <c r="F700" s="13"/>
      <c r="G700" s="32" t="s">
        <v>659</v>
      </c>
      <c r="H700" s="63">
        <v>10</v>
      </c>
      <c r="I700" s="63"/>
      <c r="J700" s="63">
        <f>+'INVENTARIO ABRIL-JUNIO 2021'!$H700-'INVENTARIO ABRIL-JUNIO 2021'!$I700</f>
        <v>10</v>
      </c>
      <c r="K700" s="63"/>
      <c r="L700" s="63"/>
      <c r="M700" s="63"/>
      <c r="N700" s="63"/>
      <c r="O700" s="125"/>
      <c r="P700" s="63"/>
      <c r="Q700" s="63"/>
      <c r="R700" s="63"/>
      <c r="S700" s="63"/>
      <c r="T700" s="63"/>
      <c r="U700" s="63">
        <f>+Tabla1[[#This Row],[STOCK    FISICO ENERO 2021]]-Tabla1[[#This Row],[REQUISICIONES FEBRERO 2021]]</f>
        <v>10</v>
      </c>
      <c r="V700" s="63">
        <f>+Tabla1[[#This Row],[STOCK  FEBRERO 2021]]-Tabla1[[#This Row],[REQUISICIONES MARZO 2021]]+Tabla1[[#This Row],[ENTRADAS MARZO 2021]]</f>
        <v>10</v>
      </c>
      <c r="W700" s="63">
        <f>+Tabla1[[#This Row],[STOCK MARZO 2021]]-Tabla1[[#This Row],[REQUISICIONES ABRIL 2021]]+Tabla1[[#This Row],[ENTRADAS ABRIL 2021]]</f>
        <v>10</v>
      </c>
      <c r="X700" s="63">
        <f>+Tabla1[[#This Row],[STOCK ABRIL 2021]]-Tabla1[[#This Row],[REQUISICIONES MAYO 2021]]+Tabla1[[#This Row],[ENTRADAS MAYO 2021]]</f>
        <v>10</v>
      </c>
      <c r="Y700" s="63">
        <f>+Tabla1[[#This Row],[STOCK MAYO 2021]]-Tabla1[[#This Row],[REQUISICIONES JUNIO 2021]]+Tabla1[[#This Row],[ENTRADAS JUNIO 2021]]</f>
        <v>10</v>
      </c>
      <c r="Z700" s="73" t="s">
        <v>105</v>
      </c>
      <c r="AA700" s="34">
        <v>0</v>
      </c>
      <c r="AB700" s="35">
        <f t="shared" ref="AB700" si="27">AA700*0.18+AA700</f>
        <v>0</v>
      </c>
      <c r="AC700" s="93">
        <f>Tabla1[[#This Row],[STOCK JUNIO ]]*Tabla1[[#This Row],[COSTO UNITARIO SIN ITBIS]]</f>
        <v>0</v>
      </c>
    </row>
    <row r="701" spans="1:29" s="8" customFormat="1" x14ac:dyDescent="0.25">
      <c r="A701" s="266">
        <v>36</v>
      </c>
      <c r="B701" s="31">
        <v>43636</v>
      </c>
      <c r="C701" s="28" t="s">
        <v>11</v>
      </c>
      <c r="D701" s="31">
        <v>43633</v>
      </c>
      <c r="E701" s="137"/>
      <c r="F701" s="28">
        <v>1082</v>
      </c>
      <c r="G701" s="75" t="s">
        <v>517</v>
      </c>
      <c r="H701" s="72">
        <v>2</v>
      </c>
      <c r="I701" s="72"/>
      <c r="J701" s="72">
        <f>+'INVENTARIO ABRIL-JUNIO 2021'!$H701-'INVENTARIO ABRIL-JUNIO 2021'!$I701</f>
        <v>2</v>
      </c>
      <c r="K701" s="72"/>
      <c r="L701" s="72"/>
      <c r="M701" s="72"/>
      <c r="N701" s="72"/>
      <c r="O701" s="296"/>
      <c r="P701" s="72"/>
      <c r="Q701" s="72"/>
      <c r="R701" s="72"/>
      <c r="S701" s="72"/>
      <c r="T701" s="72"/>
      <c r="U701" s="72">
        <f>+Tabla1[[#This Row],[STOCK    FISICO ENERO 2021]]-Tabla1[[#This Row],[REQUISICIONES FEBRERO 2021]]</f>
        <v>2</v>
      </c>
      <c r="V701" s="72">
        <f>+Tabla1[[#This Row],[STOCK  FEBRERO 2021]]-Tabla1[[#This Row],[REQUISICIONES MARZO 2021]]+Tabla1[[#This Row],[ENTRADAS MARZO 2021]]</f>
        <v>2</v>
      </c>
      <c r="W701" s="72">
        <f>+Tabla1[[#This Row],[STOCK MARZO 2021]]-Tabla1[[#This Row],[REQUISICIONES ABRIL 2021]]+Tabla1[[#This Row],[ENTRADAS ABRIL 2021]]</f>
        <v>2</v>
      </c>
      <c r="X701" s="72">
        <f>+Tabla1[[#This Row],[STOCK ABRIL 2021]]-Tabla1[[#This Row],[REQUISICIONES MAYO 2021]]+Tabla1[[#This Row],[ENTRADAS MAYO 2021]]</f>
        <v>2</v>
      </c>
      <c r="Y701" s="72">
        <f>+Tabla1[[#This Row],[STOCK MAYO 2021]]-Tabla1[[#This Row],[REQUISICIONES JUNIO 2021]]+Tabla1[[#This Row],[ENTRADAS JUNIO 2021]]</f>
        <v>2</v>
      </c>
      <c r="Z701" s="73" t="s">
        <v>105</v>
      </c>
      <c r="AA701" s="76">
        <v>0</v>
      </c>
      <c r="AB701" s="35">
        <f t="shared" ref="AB701:AB713" si="28">AA701*0.18+AA701</f>
        <v>0</v>
      </c>
      <c r="AC701" s="93">
        <f>Tabla1[[#This Row],[STOCK JUNIO ]]*Tabla1[[#This Row],[COSTO UNITARIO SIN ITBIS]]</f>
        <v>0</v>
      </c>
    </row>
    <row r="702" spans="1:29" s="8" customFormat="1" x14ac:dyDescent="0.25">
      <c r="A702" s="266">
        <v>37</v>
      </c>
      <c r="B702" s="74">
        <v>44110</v>
      </c>
      <c r="C702" s="28" t="s">
        <v>11</v>
      </c>
      <c r="D702" s="74">
        <v>44110</v>
      </c>
      <c r="E702" s="145"/>
      <c r="F702" s="13">
        <v>1081</v>
      </c>
      <c r="G702" s="32" t="s">
        <v>518</v>
      </c>
      <c r="H702" s="63">
        <v>0</v>
      </c>
      <c r="I702" s="63"/>
      <c r="J702" s="63">
        <f>+'INVENTARIO ABRIL-JUNIO 2021'!$H702-'INVENTARIO ABRIL-JUNIO 2021'!$I702</f>
        <v>0</v>
      </c>
      <c r="K702" s="63"/>
      <c r="L702" s="63"/>
      <c r="M702" s="63"/>
      <c r="N702" s="63"/>
      <c r="O702" s="125"/>
      <c r="P702" s="63"/>
      <c r="Q702" s="63"/>
      <c r="R702" s="63"/>
      <c r="S702" s="63"/>
      <c r="T702" s="63"/>
      <c r="U702" s="63">
        <f>+Tabla1[[#This Row],[STOCK    FISICO ENERO 2021]]-Tabla1[[#This Row],[REQUISICIONES FEBRERO 2021]]</f>
        <v>0</v>
      </c>
      <c r="V702" s="63">
        <f>+Tabla1[[#This Row],[STOCK  FEBRERO 2021]]-Tabla1[[#This Row],[REQUISICIONES MARZO 2021]]+Tabla1[[#This Row],[ENTRADAS MARZO 2021]]</f>
        <v>0</v>
      </c>
      <c r="W702" s="63">
        <f>+Tabla1[[#This Row],[STOCK MARZO 2021]]-Tabla1[[#This Row],[REQUISICIONES ABRIL 2021]]+Tabla1[[#This Row],[ENTRADAS ABRIL 2021]]</f>
        <v>0</v>
      </c>
      <c r="X702" s="63">
        <f>+Tabla1[[#This Row],[STOCK ABRIL 2021]]-Tabla1[[#This Row],[REQUISICIONES MAYO 2021]]+Tabla1[[#This Row],[ENTRADAS MAYO 2021]]</f>
        <v>0</v>
      </c>
      <c r="Y702" s="63">
        <f>+Tabla1[[#This Row],[STOCK MAYO 2021]]-Tabla1[[#This Row],[REQUISICIONES JUNIO 2021]]+Tabla1[[#This Row],[ENTRADAS JUNIO 2021]]</f>
        <v>0</v>
      </c>
      <c r="Z702" s="30" t="s">
        <v>12</v>
      </c>
      <c r="AA702" s="34">
        <v>88.5</v>
      </c>
      <c r="AB702" s="35">
        <f t="shared" si="28"/>
        <v>104.43</v>
      </c>
      <c r="AC702" s="93">
        <f>Tabla1[[#This Row],[STOCK JUNIO ]]*Tabla1[[#This Row],[COSTO UNITARIO SIN ITBIS]]</f>
        <v>0</v>
      </c>
    </row>
    <row r="703" spans="1:29" s="8" customFormat="1" x14ac:dyDescent="0.25">
      <c r="A703" s="266">
        <v>38</v>
      </c>
      <c r="B703" s="31"/>
      <c r="C703" s="28" t="s">
        <v>11</v>
      </c>
      <c r="D703" s="31"/>
      <c r="E703" s="137"/>
      <c r="F703" s="28">
        <v>1307</v>
      </c>
      <c r="G703" s="75" t="s">
        <v>519</v>
      </c>
      <c r="H703" s="72">
        <v>0</v>
      </c>
      <c r="I703" s="72"/>
      <c r="J703" s="72">
        <f>+'INVENTARIO ABRIL-JUNIO 2021'!$H703-'INVENTARIO ABRIL-JUNIO 2021'!$I703</f>
        <v>0</v>
      </c>
      <c r="K703" s="72"/>
      <c r="L703" s="72"/>
      <c r="M703" s="72"/>
      <c r="N703" s="72"/>
      <c r="O703" s="296"/>
      <c r="P703" s="72"/>
      <c r="Q703" s="72"/>
      <c r="R703" s="72"/>
      <c r="S703" s="72"/>
      <c r="T703" s="72"/>
      <c r="U703" s="72">
        <f>+Tabla1[[#This Row],[STOCK    FISICO ENERO 2021]]-Tabla1[[#This Row],[REQUISICIONES FEBRERO 2021]]</f>
        <v>0</v>
      </c>
      <c r="V703" s="72">
        <f>+Tabla1[[#This Row],[STOCK  FEBRERO 2021]]-Tabla1[[#This Row],[REQUISICIONES MARZO 2021]]+Tabla1[[#This Row],[ENTRADAS MARZO 2021]]</f>
        <v>0</v>
      </c>
      <c r="W703" s="72">
        <f>+Tabla1[[#This Row],[STOCK MARZO 2021]]-Tabla1[[#This Row],[REQUISICIONES ABRIL 2021]]+Tabla1[[#This Row],[ENTRADAS ABRIL 2021]]</f>
        <v>0</v>
      </c>
      <c r="X703" s="72">
        <f>+Tabla1[[#This Row],[STOCK ABRIL 2021]]-Tabla1[[#This Row],[REQUISICIONES MAYO 2021]]+Tabla1[[#This Row],[ENTRADAS MAYO 2021]]</f>
        <v>0</v>
      </c>
      <c r="Y703" s="72">
        <f>+Tabla1[[#This Row],[STOCK MAYO 2021]]-Tabla1[[#This Row],[REQUISICIONES JUNIO 2021]]+Tabla1[[#This Row],[ENTRADAS JUNIO 2021]]</f>
        <v>0</v>
      </c>
      <c r="Z703" s="73" t="s">
        <v>12</v>
      </c>
      <c r="AA703" s="76">
        <v>0</v>
      </c>
      <c r="AB703" s="35">
        <f t="shared" si="28"/>
        <v>0</v>
      </c>
      <c r="AC703" s="93">
        <f>Tabla1[[#This Row],[STOCK JUNIO ]]*Tabla1[[#This Row],[COSTO UNITARIO SIN ITBIS]]</f>
        <v>0</v>
      </c>
    </row>
    <row r="704" spans="1:29" s="8" customFormat="1" x14ac:dyDescent="0.25">
      <c r="A704" s="266">
        <v>39</v>
      </c>
      <c r="B704" s="74">
        <v>44168</v>
      </c>
      <c r="C704" s="28" t="s">
        <v>11</v>
      </c>
      <c r="D704" s="74">
        <v>44152</v>
      </c>
      <c r="E704" s="145"/>
      <c r="F704" s="28"/>
      <c r="G704" s="32" t="s">
        <v>520</v>
      </c>
      <c r="H704" s="63">
        <v>4</v>
      </c>
      <c r="I704" s="63"/>
      <c r="J704" s="63">
        <f>+'INVENTARIO ABRIL-JUNIO 2021'!$H704-'INVENTARIO ABRIL-JUNIO 2021'!$I704</f>
        <v>4</v>
      </c>
      <c r="K704" s="63"/>
      <c r="L704" s="63"/>
      <c r="M704" s="63"/>
      <c r="N704" s="63"/>
      <c r="O704" s="125"/>
      <c r="P704" s="63"/>
      <c r="Q704" s="63"/>
      <c r="R704" s="63"/>
      <c r="S704" s="63"/>
      <c r="T704" s="63"/>
      <c r="U704" s="63">
        <f>+Tabla1[[#This Row],[STOCK    FISICO ENERO 2021]]-Tabla1[[#This Row],[REQUISICIONES FEBRERO 2021]]</f>
        <v>4</v>
      </c>
      <c r="V704" s="63">
        <f>+Tabla1[[#This Row],[STOCK  FEBRERO 2021]]-Tabla1[[#This Row],[REQUISICIONES MARZO 2021]]+Tabla1[[#This Row],[ENTRADAS MARZO 2021]]</f>
        <v>4</v>
      </c>
      <c r="W704" s="63">
        <f>+Tabla1[[#This Row],[STOCK MARZO 2021]]-Tabla1[[#This Row],[REQUISICIONES ABRIL 2021]]+Tabla1[[#This Row],[ENTRADAS ABRIL 2021]]</f>
        <v>4</v>
      </c>
      <c r="X704" s="63">
        <f>+Tabla1[[#This Row],[STOCK ABRIL 2021]]-Tabla1[[#This Row],[REQUISICIONES MAYO 2021]]+Tabla1[[#This Row],[ENTRADAS MAYO 2021]]</f>
        <v>4</v>
      </c>
      <c r="Y704" s="63">
        <f>+Tabla1[[#This Row],[STOCK MAYO 2021]]-Tabla1[[#This Row],[REQUISICIONES JUNIO 2021]]+Tabla1[[#This Row],[ENTRADAS JUNIO 2021]]</f>
        <v>4</v>
      </c>
      <c r="Z704" s="30" t="s">
        <v>105</v>
      </c>
      <c r="AA704" s="34">
        <v>275</v>
      </c>
      <c r="AB704" s="35">
        <f t="shared" si="28"/>
        <v>324.5</v>
      </c>
      <c r="AC704" s="93">
        <f>Tabla1[[#This Row],[STOCK JUNIO ]]*Tabla1[[#This Row],[COSTO UNITARIO SIN ITBIS]]</f>
        <v>1100</v>
      </c>
    </row>
    <row r="705" spans="1:29" s="8" customFormat="1" x14ac:dyDescent="0.25">
      <c r="A705" s="266">
        <v>40</v>
      </c>
      <c r="B705" s="31">
        <v>43636</v>
      </c>
      <c r="C705" s="28" t="s">
        <v>11</v>
      </c>
      <c r="D705" s="31">
        <v>43633</v>
      </c>
      <c r="E705" s="137"/>
      <c r="F705" s="28">
        <v>1440</v>
      </c>
      <c r="G705" s="32" t="s">
        <v>799</v>
      </c>
      <c r="H705" s="63">
        <v>5</v>
      </c>
      <c r="I705" s="63"/>
      <c r="J705" s="63">
        <f>+'INVENTARIO ABRIL-JUNIO 2021'!$H705-'INVENTARIO ABRIL-JUNIO 2021'!$I705</f>
        <v>5</v>
      </c>
      <c r="K705" s="63"/>
      <c r="L705" s="63"/>
      <c r="M705" s="63"/>
      <c r="N705" s="63"/>
      <c r="O705" s="125"/>
      <c r="P705" s="63"/>
      <c r="Q705" s="63">
        <v>1</v>
      </c>
      <c r="R705" s="63">
        <v>4</v>
      </c>
      <c r="S705" s="63"/>
      <c r="T705" s="63"/>
      <c r="U705" s="63">
        <f>+Tabla1[[#This Row],[STOCK    FISICO ENERO 2021]]-Tabla1[[#This Row],[REQUISICIONES FEBRERO 2021]]</f>
        <v>5</v>
      </c>
      <c r="V705" s="63">
        <f>+Tabla1[[#This Row],[STOCK  FEBRERO 2021]]-Tabla1[[#This Row],[REQUISICIONES MARZO 2021]]+Tabla1[[#This Row],[ENTRADAS MARZO 2021]]</f>
        <v>4</v>
      </c>
      <c r="W705" s="63">
        <f>+Tabla1[[#This Row],[STOCK MARZO 2021]]-Tabla1[[#This Row],[REQUISICIONES ABRIL 2021]]+Tabla1[[#This Row],[ENTRADAS ABRIL 2021]]</f>
        <v>0</v>
      </c>
      <c r="X705" s="63">
        <f>+Tabla1[[#This Row],[STOCK ABRIL 2021]]-Tabla1[[#This Row],[REQUISICIONES MAYO 2021]]+Tabla1[[#This Row],[ENTRADAS MAYO 2021]]</f>
        <v>0</v>
      </c>
      <c r="Y705" s="63">
        <f>+Tabla1[[#This Row],[STOCK MAYO 2021]]-Tabla1[[#This Row],[REQUISICIONES JUNIO 2021]]+Tabla1[[#This Row],[ENTRADAS JUNIO 2021]]</f>
        <v>0</v>
      </c>
      <c r="Z705" s="30" t="s">
        <v>105</v>
      </c>
      <c r="AA705" s="34">
        <v>275</v>
      </c>
      <c r="AB705" s="35">
        <f t="shared" si="28"/>
        <v>324.5</v>
      </c>
      <c r="AC705" s="93">
        <f>Tabla1[[#This Row],[STOCK JUNIO ]]*Tabla1[[#This Row],[COSTO UNITARIO SIN ITBIS]]</f>
        <v>0</v>
      </c>
    </row>
    <row r="706" spans="1:29" s="8" customFormat="1" x14ac:dyDescent="0.25">
      <c r="A706" s="266">
        <v>41</v>
      </c>
      <c r="B706" s="74">
        <v>43223</v>
      </c>
      <c r="C706" s="28" t="s">
        <v>11</v>
      </c>
      <c r="D706" s="74">
        <v>43223</v>
      </c>
      <c r="E706" s="145"/>
      <c r="F706" s="79"/>
      <c r="G706" s="75" t="s">
        <v>656</v>
      </c>
      <c r="H706" s="72">
        <v>5</v>
      </c>
      <c r="I706" s="72"/>
      <c r="J706" s="72">
        <f>+'INVENTARIO ABRIL-JUNIO 2021'!$H706-'INVENTARIO ABRIL-JUNIO 2021'!$I706</f>
        <v>5</v>
      </c>
      <c r="K706" s="72"/>
      <c r="L706" s="72"/>
      <c r="M706" s="72"/>
      <c r="N706" s="72"/>
      <c r="O706" s="296"/>
      <c r="P706" s="72"/>
      <c r="Q706" s="72"/>
      <c r="R706" s="72"/>
      <c r="S706" s="72"/>
      <c r="T706" s="72"/>
      <c r="U706" s="72">
        <f>+Tabla1[[#This Row],[STOCK    FISICO ENERO 2021]]-Tabla1[[#This Row],[REQUISICIONES FEBRERO 2021]]</f>
        <v>5</v>
      </c>
      <c r="V706" s="72">
        <f>+Tabla1[[#This Row],[STOCK  FEBRERO 2021]]-Tabla1[[#This Row],[REQUISICIONES MARZO 2021]]+Tabla1[[#This Row],[ENTRADAS MARZO 2021]]</f>
        <v>5</v>
      </c>
      <c r="W706" s="72">
        <f>+Tabla1[[#This Row],[STOCK MARZO 2021]]-Tabla1[[#This Row],[REQUISICIONES ABRIL 2021]]+Tabla1[[#This Row],[ENTRADAS ABRIL 2021]]</f>
        <v>5</v>
      </c>
      <c r="X706" s="72">
        <f>+Tabla1[[#This Row],[STOCK ABRIL 2021]]-Tabla1[[#This Row],[REQUISICIONES MAYO 2021]]+Tabla1[[#This Row],[ENTRADAS MAYO 2021]]</f>
        <v>5</v>
      </c>
      <c r="Y706" s="72">
        <f>+Tabla1[[#This Row],[STOCK MAYO 2021]]-Tabla1[[#This Row],[REQUISICIONES JUNIO 2021]]+Tabla1[[#This Row],[ENTRADAS JUNIO 2021]]</f>
        <v>5</v>
      </c>
      <c r="Z706" s="73" t="s">
        <v>147</v>
      </c>
      <c r="AA706" s="76">
        <v>0</v>
      </c>
      <c r="AB706" s="35">
        <f t="shared" si="28"/>
        <v>0</v>
      </c>
      <c r="AC706" s="93">
        <f>Tabla1[[#This Row],[STOCK JUNIO ]]*Tabla1[[#This Row],[COSTO UNITARIO SIN ITBIS]]</f>
        <v>0</v>
      </c>
    </row>
    <row r="707" spans="1:29" s="8" customFormat="1" x14ac:dyDescent="0.25">
      <c r="A707" s="266">
        <v>42</v>
      </c>
      <c r="B707" s="74">
        <v>44110</v>
      </c>
      <c r="C707" s="28" t="s">
        <v>11</v>
      </c>
      <c r="D707" s="74">
        <v>44110</v>
      </c>
      <c r="E707" s="145"/>
      <c r="F707" s="13">
        <v>1558</v>
      </c>
      <c r="G707" s="75" t="s">
        <v>521</v>
      </c>
      <c r="H707" s="72">
        <v>3</v>
      </c>
      <c r="I707" s="72"/>
      <c r="J707" s="72">
        <f>+'INVENTARIO ABRIL-JUNIO 2021'!$H707-'INVENTARIO ABRIL-JUNIO 2021'!$I707</f>
        <v>3</v>
      </c>
      <c r="K707" s="72"/>
      <c r="L707" s="72"/>
      <c r="M707" s="72"/>
      <c r="N707" s="72"/>
      <c r="O707" s="296"/>
      <c r="P707" s="72"/>
      <c r="Q707" s="72">
        <f>1+1</f>
        <v>2</v>
      </c>
      <c r="R707" s="72"/>
      <c r="S707" s="72">
        <v>1</v>
      </c>
      <c r="T707" s="72"/>
      <c r="U707" s="72">
        <f>+Tabla1[[#This Row],[STOCK    FISICO ENERO 2021]]-Tabla1[[#This Row],[REQUISICIONES FEBRERO 2021]]</f>
        <v>3</v>
      </c>
      <c r="V707" s="72">
        <f>+Tabla1[[#This Row],[STOCK  FEBRERO 2021]]-Tabla1[[#This Row],[REQUISICIONES MARZO 2021]]+Tabla1[[#This Row],[ENTRADAS MARZO 2021]]</f>
        <v>1</v>
      </c>
      <c r="W707" s="72">
        <f>+Tabla1[[#This Row],[STOCK MARZO 2021]]-Tabla1[[#This Row],[REQUISICIONES ABRIL 2021]]+Tabla1[[#This Row],[ENTRADAS ABRIL 2021]]</f>
        <v>1</v>
      </c>
      <c r="X707" s="72">
        <f>+Tabla1[[#This Row],[STOCK ABRIL 2021]]-Tabla1[[#This Row],[REQUISICIONES MAYO 2021]]+Tabla1[[#This Row],[ENTRADAS MAYO 2021]]</f>
        <v>0</v>
      </c>
      <c r="Y707" s="72">
        <f>+Tabla1[[#This Row],[STOCK MAYO 2021]]-Tabla1[[#This Row],[REQUISICIONES JUNIO 2021]]+Tabla1[[#This Row],[ENTRADAS JUNIO 2021]]</f>
        <v>0</v>
      </c>
      <c r="Z707" s="30" t="s">
        <v>15</v>
      </c>
      <c r="AA707" s="76">
        <v>822</v>
      </c>
      <c r="AB707" s="35">
        <f t="shared" si="28"/>
        <v>969.96</v>
      </c>
      <c r="AC707" s="93">
        <f>Tabla1[[#This Row],[STOCK JUNIO ]]*Tabla1[[#This Row],[COSTO UNITARIO SIN ITBIS]]</f>
        <v>0</v>
      </c>
    </row>
    <row r="708" spans="1:29" s="8" customFormat="1" x14ac:dyDescent="0.25">
      <c r="A708" s="266">
        <v>43</v>
      </c>
      <c r="B708" s="74">
        <v>44028</v>
      </c>
      <c r="C708" s="13" t="s">
        <v>11</v>
      </c>
      <c r="D708" s="74">
        <v>44028</v>
      </c>
      <c r="E708" s="145"/>
      <c r="F708" s="13">
        <v>1785</v>
      </c>
      <c r="G708" s="75" t="s">
        <v>688</v>
      </c>
      <c r="H708" s="72">
        <v>1</v>
      </c>
      <c r="I708" s="72"/>
      <c r="J708" s="72">
        <f>+'INVENTARIO ABRIL-JUNIO 2021'!$H708-'INVENTARIO ABRIL-JUNIO 2021'!$I708</f>
        <v>1</v>
      </c>
      <c r="K708" s="72"/>
      <c r="L708" s="72"/>
      <c r="M708" s="72"/>
      <c r="N708" s="72"/>
      <c r="O708" s="296"/>
      <c r="P708" s="72"/>
      <c r="Q708" s="72"/>
      <c r="R708" s="72"/>
      <c r="S708" s="72"/>
      <c r="T708" s="72"/>
      <c r="U708" s="72">
        <f>+Tabla1[[#This Row],[STOCK    FISICO ENERO 2021]]-Tabla1[[#This Row],[REQUISICIONES FEBRERO 2021]]</f>
        <v>1</v>
      </c>
      <c r="V708" s="72">
        <f>+Tabla1[[#This Row],[STOCK  FEBRERO 2021]]-Tabla1[[#This Row],[REQUISICIONES MARZO 2021]]+Tabla1[[#This Row],[ENTRADAS MARZO 2021]]</f>
        <v>1</v>
      </c>
      <c r="W708" s="72">
        <f>+Tabla1[[#This Row],[STOCK MARZO 2021]]-Tabla1[[#This Row],[REQUISICIONES ABRIL 2021]]+Tabla1[[#This Row],[ENTRADAS ABRIL 2021]]</f>
        <v>1</v>
      </c>
      <c r="X708" s="72">
        <f>+Tabla1[[#This Row],[STOCK ABRIL 2021]]-Tabla1[[#This Row],[REQUISICIONES MAYO 2021]]+Tabla1[[#This Row],[ENTRADAS MAYO 2021]]</f>
        <v>1</v>
      </c>
      <c r="Y708" s="72">
        <f>+Tabla1[[#This Row],[STOCK MAYO 2021]]-Tabla1[[#This Row],[REQUISICIONES JUNIO 2021]]+Tabla1[[#This Row],[ENTRADAS JUNIO 2021]]</f>
        <v>1</v>
      </c>
      <c r="Z708" s="73" t="s">
        <v>105</v>
      </c>
      <c r="AA708" s="76">
        <v>238.8</v>
      </c>
      <c r="AB708" s="35">
        <f>AA708*0.18+AA708</f>
        <v>281.78399999999999</v>
      </c>
      <c r="AC708" s="93">
        <f>Tabla1[[#This Row],[STOCK JUNIO ]]*Tabla1[[#This Row],[COSTO UNITARIO SIN ITBIS]]</f>
        <v>238.8</v>
      </c>
    </row>
    <row r="709" spans="1:29" s="8" customFormat="1" ht="14.25" customHeight="1" x14ac:dyDescent="0.25">
      <c r="A709" s="266">
        <v>44</v>
      </c>
      <c r="B709" s="31">
        <v>43073</v>
      </c>
      <c r="C709" s="28" t="s">
        <v>11</v>
      </c>
      <c r="D709" s="31">
        <v>43073</v>
      </c>
      <c r="E709" s="137"/>
      <c r="F709" s="28">
        <v>1807</v>
      </c>
      <c r="G709" s="75" t="s">
        <v>522</v>
      </c>
      <c r="H709" s="72">
        <v>0</v>
      </c>
      <c r="I709" s="72"/>
      <c r="J709" s="72">
        <f>+'INVENTARIO ABRIL-JUNIO 2021'!$H709-'INVENTARIO ABRIL-JUNIO 2021'!$I709</f>
        <v>0</v>
      </c>
      <c r="K709" s="72"/>
      <c r="L709" s="72"/>
      <c r="M709" s="72"/>
      <c r="N709" s="72"/>
      <c r="O709" s="296"/>
      <c r="P709" s="72"/>
      <c r="Q709" s="72"/>
      <c r="R709" s="72"/>
      <c r="S709" s="72"/>
      <c r="T709" s="72"/>
      <c r="U709" s="72">
        <f>+Tabla1[[#This Row],[STOCK    FISICO ENERO 2021]]-Tabla1[[#This Row],[REQUISICIONES FEBRERO 2021]]</f>
        <v>0</v>
      </c>
      <c r="V709" s="72">
        <f>+Tabla1[[#This Row],[STOCK  FEBRERO 2021]]-Tabla1[[#This Row],[REQUISICIONES MARZO 2021]]+Tabla1[[#This Row],[ENTRADAS MARZO 2021]]</f>
        <v>0</v>
      </c>
      <c r="W709" s="72">
        <f>+Tabla1[[#This Row],[STOCK MARZO 2021]]-Tabla1[[#This Row],[REQUISICIONES ABRIL 2021]]+Tabla1[[#This Row],[ENTRADAS ABRIL 2021]]</f>
        <v>0</v>
      </c>
      <c r="X709" s="72">
        <f>+Tabla1[[#This Row],[STOCK ABRIL 2021]]-Tabla1[[#This Row],[REQUISICIONES MAYO 2021]]+Tabla1[[#This Row],[ENTRADAS MAYO 2021]]</f>
        <v>0</v>
      </c>
      <c r="Y709" s="72">
        <f>+Tabla1[[#This Row],[STOCK MAYO 2021]]-Tabla1[[#This Row],[REQUISICIONES JUNIO 2021]]+Tabla1[[#This Row],[ENTRADAS JUNIO 2021]]</f>
        <v>0</v>
      </c>
      <c r="Z709" s="30" t="s">
        <v>15</v>
      </c>
      <c r="AA709" s="76">
        <v>488.14</v>
      </c>
      <c r="AB709" s="35">
        <f t="shared" si="28"/>
        <v>576.00519999999995</v>
      </c>
      <c r="AC709" s="93">
        <f>Tabla1[[#This Row],[STOCK JUNIO ]]*Tabla1[[#This Row],[COSTO UNITARIO SIN ITBIS]]</f>
        <v>0</v>
      </c>
    </row>
    <row r="710" spans="1:29" s="8" customFormat="1" x14ac:dyDescent="0.25">
      <c r="A710" s="266">
        <v>45</v>
      </c>
      <c r="B710" s="74">
        <v>43073</v>
      </c>
      <c r="C710" s="28" t="s">
        <v>11</v>
      </c>
      <c r="D710" s="74">
        <v>43073</v>
      </c>
      <c r="E710" s="145"/>
      <c r="F710" s="28">
        <v>1443</v>
      </c>
      <c r="G710" s="32" t="s">
        <v>657</v>
      </c>
      <c r="H710" s="63">
        <v>1</v>
      </c>
      <c r="I710" s="63"/>
      <c r="J710" s="63">
        <f>+'INVENTARIO ABRIL-JUNIO 2021'!$H710-'INVENTARIO ABRIL-JUNIO 2021'!$I710</f>
        <v>1</v>
      </c>
      <c r="K710" s="63"/>
      <c r="L710" s="63"/>
      <c r="M710" s="63"/>
      <c r="N710" s="63"/>
      <c r="O710" s="125"/>
      <c r="P710" s="63"/>
      <c r="Q710" s="63"/>
      <c r="R710" s="63"/>
      <c r="S710" s="63"/>
      <c r="T710" s="63"/>
      <c r="U710" s="63">
        <f>+Tabla1[[#This Row],[STOCK    FISICO ENERO 2021]]-Tabla1[[#This Row],[REQUISICIONES FEBRERO 2021]]</f>
        <v>1</v>
      </c>
      <c r="V710" s="63">
        <f>+Tabla1[[#This Row],[STOCK  FEBRERO 2021]]-Tabla1[[#This Row],[REQUISICIONES MARZO 2021]]+Tabla1[[#This Row],[ENTRADAS MARZO 2021]]</f>
        <v>1</v>
      </c>
      <c r="W710" s="63">
        <f>+Tabla1[[#This Row],[STOCK MARZO 2021]]-Tabla1[[#This Row],[REQUISICIONES ABRIL 2021]]+Tabla1[[#This Row],[ENTRADAS ABRIL 2021]]</f>
        <v>1</v>
      </c>
      <c r="X710" s="63">
        <f>+Tabla1[[#This Row],[STOCK ABRIL 2021]]-Tabla1[[#This Row],[REQUISICIONES MAYO 2021]]+Tabla1[[#This Row],[ENTRADAS MAYO 2021]]</f>
        <v>1</v>
      </c>
      <c r="Y710" s="63">
        <f>+Tabla1[[#This Row],[STOCK MAYO 2021]]-Tabla1[[#This Row],[REQUISICIONES JUNIO 2021]]+Tabla1[[#This Row],[ENTRADAS JUNIO 2021]]</f>
        <v>1</v>
      </c>
      <c r="Z710" s="30" t="s">
        <v>15</v>
      </c>
      <c r="AA710" s="34">
        <v>2478</v>
      </c>
      <c r="AB710" s="35">
        <f t="shared" si="28"/>
        <v>2924.04</v>
      </c>
      <c r="AC710" s="93">
        <f>Tabla1[[#This Row],[STOCK JUNIO ]]*Tabla1[[#This Row],[COSTO UNITARIO SIN ITBIS]]</f>
        <v>2478</v>
      </c>
    </row>
    <row r="711" spans="1:29" s="8" customFormat="1" x14ac:dyDescent="0.25">
      <c r="A711" s="266">
        <v>46</v>
      </c>
      <c r="B711" s="31">
        <v>43453</v>
      </c>
      <c r="C711" s="28" t="s">
        <v>11</v>
      </c>
      <c r="D711" s="31">
        <v>43453</v>
      </c>
      <c r="E711" s="137"/>
      <c r="F711" s="13">
        <v>1432</v>
      </c>
      <c r="G711" s="32" t="s">
        <v>658</v>
      </c>
      <c r="H711" s="63">
        <v>2</v>
      </c>
      <c r="I711" s="63"/>
      <c r="J711" s="63">
        <f>+'INVENTARIO ABRIL-JUNIO 2021'!$H711-'INVENTARIO ABRIL-JUNIO 2021'!$I711</f>
        <v>2</v>
      </c>
      <c r="K711" s="63"/>
      <c r="L711" s="63"/>
      <c r="M711" s="63"/>
      <c r="N711" s="63"/>
      <c r="O711" s="125"/>
      <c r="P711" s="63"/>
      <c r="Q711" s="63"/>
      <c r="R711" s="63"/>
      <c r="S711" s="63">
        <v>1</v>
      </c>
      <c r="T711" s="63"/>
      <c r="U711" s="63">
        <f>+Tabla1[[#This Row],[STOCK    FISICO ENERO 2021]]-Tabla1[[#This Row],[REQUISICIONES FEBRERO 2021]]</f>
        <v>2</v>
      </c>
      <c r="V711" s="63">
        <f>+Tabla1[[#This Row],[STOCK  FEBRERO 2021]]-Tabla1[[#This Row],[REQUISICIONES MARZO 2021]]+Tabla1[[#This Row],[ENTRADAS MARZO 2021]]</f>
        <v>2</v>
      </c>
      <c r="W711" s="63">
        <f>+Tabla1[[#This Row],[STOCK MARZO 2021]]-Tabla1[[#This Row],[REQUISICIONES ABRIL 2021]]+Tabla1[[#This Row],[ENTRADAS ABRIL 2021]]</f>
        <v>2</v>
      </c>
      <c r="X711" s="63">
        <f>+Tabla1[[#This Row],[STOCK ABRIL 2021]]-Tabla1[[#This Row],[REQUISICIONES MAYO 2021]]+Tabla1[[#This Row],[ENTRADAS MAYO 2021]]</f>
        <v>1</v>
      </c>
      <c r="Y711" s="63">
        <f>+Tabla1[[#This Row],[STOCK MAYO 2021]]-Tabla1[[#This Row],[REQUISICIONES JUNIO 2021]]+Tabla1[[#This Row],[ENTRADAS JUNIO 2021]]</f>
        <v>1</v>
      </c>
      <c r="Z711" s="30" t="s">
        <v>15</v>
      </c>
      <c r="AA711" s="34">
        <v>4967.8</v>
      </c>
      <c r="AB711" s="35">
        <f t="shared" si="28"/>
        <v>5862.0039999999999</v>
      </c>
      <c r="AC711" s="93">
        <f>Tabla1[[#This Row],[STOCK JUNIO ]]*Tabla1[[#This Row],[COSTO UNITARIO SIN ITBIS]]</f>
        <v>4967.8</v>
      </c>
    </row>
    <row r="712" spans="1:29" s="8" customFormat="1" x14ac:dyDescent="0.25">
      <c r="A712" s="266">
        <v>47</v>
      </c>
      <c r="B712" s="74">
        <v>44026</v>
      </c>
      <c r="C712" s="28" t="s">
        <v>11</v>
      </c>
      <c r="D712" s="74">
        <v>44026</v>
      </c>
      <c r="E712" s="145"/>
      <c r="F712" s="13">
        <v>1127</v>
      </c>
      <c r="G712" s="32" t="s">
        <v>523</v>
      </c>
      <c r="H712" s="63">
        <v>17</v>
      </c>
      <c r="I712" s="63"/>
      <c r="J712" s="63">
        <f>+'INVENTARIO ABRIL-JUNIO 2021'!$H712-'INVENTARIO ABRIL-JUNIO 2021'!$I712</f>
        <v>17</v>
      </c>
      <c r="K712" s="63"/>
      <c r="L712" s="63"/>
      <c r="M712" s="63"/>
      <c r="N712" s="63"/>
      <c r="O712" s="125"/>
      <c r="P712" s="63"/>
      <c r="Q712" s="63"/>
      <c r="R712" s="63"/>
      <c r="S712" s="63">
        <v>1</v>
      </c>
      <c r="T712" s="63"/>
      <c r="U712" s="63">
        <f>+Tabla1[[#This Row],[STOCK    FISICO ENERO 2021]]-Tabla1[[#This Row],[REQUISICIONES FEBRERO 2021]]</f>
        <v>17</v>
      </c>
      <c r="V712" s="63">
        <f>+Tabla1[[#This Row],[STOCK  FEBRERO 2021]]-Tabla1[[#This Row],[REQUISICIONES MARZO 2021]]+Tabla1[[#This Row],[ENTRADAS MARZO 2021]]</f>
        <v>17</v>
      </c>
      <c r="W712" s="63">
        <f>+Tabla1[[#This Row],[STOCK MARZO 2021]]-Tabla1[[#This Row],[REQUISICIONES ABRIL 2021]]+Tabla1[[#This Row],[ENTRADAS ABRIL 2021]]</f>
        <v>17</v>
      </c>
      <c r="X712" s="63">
        <f>+Tabla1[[#This Row],[STOCK ABRIL 2021]]-Tabla1[[#This Row],[REQUISICIONES MAYO 2021]]+Tabla1[[#This Row],[ENTRADAS MAYO 2021]]</f>
        <v>16</v>
      </c>
      <c r="Y712" s="63">
        <f>+Tabla1[[#This Row],[STOCK MAYO 2021]]-Tabla1[[#This Row],[REQUISICIONES JUNIO 2021]]+Tabla1[[#This Row],[ENTRADAS JUNIO 2021]]</f>
        <v>16</v>
      </c>
      <c r="Z712" s="30" t="s">
        <v>12</v>
      </c>
      <c r="AA712" s="34">
        <v>81.36</v>
      </c>
      <c r="AB712" s="35">
        <f t="shared" si="28"/>
        <v>96.004800000000003</v>
      </c>
      <c r="AC712" s="93">
        <f>Tabla1[[#This Row],[STOCK JUNIO ]]*Tabla1[[#This Row],[COSTO UNITARIO SIN ITBIS]]</f>
        <v>1301.76</v>
      </c>
    </row>
    <row r="713" spans="1:29" s="8" customFormat="1" x14ac:dyDescent="0.25">
      <c r="A713" s="266">
        <v>48</v>
      </c>
      <c r="B713" s="31"/>
      <c r="C713" s="28" t="s">
        <v>11</v>
      </c>
      <c r="D713" s="31"/>
      <c r="E713" s="137"/>
      <c r="F713" s="13"/>
      <c r="G713" s="32" t="s">
        <v>661</v>
      </c>
      <c r="H713" s="63">
        <v>1</v>
      </c>
      <c r="I713" s="63"/>
      <c r="J713" s="63">
        <f>+'INVENTARIO ABRIL-JUNIO 2021'!$H713-'INVENTARIO ABRIL-JUNIO 2021'!$I713</f>
        <v>1</v>
      </c>
      <c r="K713" s="63"/>
      <c r="L713" s="63"/>
      <c r="M713" s="63"/>
      <c r="N713" s="63"/>
      <c r="O713" s="125"/>
      <c r="P713" s="63"/>
      <c r="Q713" s="63"/>
      <c r="R713" s="63"/>
      <c r="S713" s="63"/>
      <c r="T713" s="63"/>
      <c r="U713" s="63">
        <f>+Tabla1[[#This Row],[STOCK    FISICO ENERO 2021]]-Tabla1[[#This Row],[REQUISICIONES FEBRERO 2021]]</f>
        <v>1</v>
      </c>
      <c r="V713" s="63">
        <f>+Tabla1[[#This Row],[STOCK  FEBRERO 2021]]-Tabla1[[#This Row],[REQUISICIONES MARZO 2021]]+Tabla1[[#This Row],[ENTRADAS MARZO 2021]]</f>
        <v>1</v>
      </c>
      <c r="W713" s="63">
        <f>+Tabla1[[#This Row],[STOCK MARZO 2021]]-Tabla1[[#This Row],[REQUISICIONES ABRIL 2021]]+Tabla1[[#This Row],[ENTRADAS ABRIL 2021]]</f>
        <v>1</v>
      </c>
      <c r="X713" s="63">
        <f>+Tabla1[[#This Row],[STOCK ABRIL 2021]]-Tabla1[[#This Row],[REQUISICIONES MAYO 2021]]+Tabla1[[#This Row],[ENTRADAS MAYO 2021]]</f>
        <v>1</v>
      </c>
      <c r="Y713" s="63">
        <f>+Tabla1[[#This Row],[STOCK MAYO 2021]]-Tabla1[[#This Row],[REQUISICIONES JUNIO 2021]]+Tabla1[[#This Row],[ENTRADAS JUNIO 2021]]</f>
        <v>1</v>
      </c>
      <c r="Z713" s="30" t="s">
        <v>12</v>
      </c>
      <c r="AA713" s="34">
        <v>0</v>
      </c>
      <c r="AB713" s="35">
        <f t="shared" si="28"/>
        <v>0</v>
      </c>
      <c r="AC713" s="93">
        <f>Tabla1[[#This Row],[STOCK JUNIO ]]*Tabla1[[#This Row],[COSTO UNITARIO SIN ITBIS]]</f>
        <v>0</v>
      </c>
    </row>
    <row r="714" spans="1:29" s="8" customFormat="1" x14ac:dyDescent="0.25">
      <c r="A714" s="266">
        <v>49</v>
      </c>
      <c r="B714" s="31">
        <v>44028</v>
      </c>
      <c r="C714" s="28" t="s">
        <v>11</v>
      </c>
      <c r="D714" s="31">
        <v>44028</v>
      </c>
      <c r="E714" s="137"/>
      <c r="F714" s="28">
        <v>1129</v>
      </c>
      <c r="G714" s="75" t="s">
        <v>664</v>
      </c>
      <c r="H714" s="72">
        <v>13</v>
      </c>
      <c r="I714" s="72"/>
      <c r="J714" s="72">
        <f>+'INVENTARIO ABRIL-JUNIO 2021'!$H714-'INVENTARIO ABRIL-JUNIO 2021'!$I714</f>
        <v>13</v>
      </c>
      <c r="K714" s="72"/>
      <c r="L714" s="72"/>
      <c r="M714" s="72"/>
      <c r="N714" s="72"/>
      <c r="O714" s="296"/>
      <c r="P714" s="72"/>
      <c r="Q714" s="72"/>
      <c r="R714" s="72">
        <v>2</v>
      </c>
      <c r="S714" s="72"/>
      <c r="T714" s="72"/>
      <c r="U714" s="72">
        <f>+Tabla1[[#This Row],[STOCK    FISICO ENERO 2021]]-Tabla1[[#This Row],[REQUISICIONES FEBRERO 2021]]</f>
        <v>13</v>
      </c>
      <c r="V714" s="72">
        <f>+Tabla1[[#This Row],[STOCK  FEBRERO 2021]]-Tabla1[[#This Row],[REQUISICIONES MARZO 2021]]+Tabla1[[#This Row],[ENTRADAS MARZO 2021]]</f>
        <v>13</v>
      </c>
      <c r="W714" s="72">
        <f>+Tabla1[[#This Row],[STOCK MARZO 2021]]-Tabla1[[#This Row],[REQUISICIONES ABRIL 2021]]+Tabla1[[#This Row],[ENTRADAS ABRIL 2021]]</f>
        <v>11</v>
      </c>
      <c r="X714" s="72">
        <f>+Tabla1[[#This Row],[STOCK ABRIL 2021]]-Tabla1[[#This Row],[REQUISICIONES MAYO 2021]]+Tabla1[[#This Row],[ENTRADAS MAYO 2021]]</f>
        <v>11</v>
      </c>
      <c r="Y714" s="72">
        <f>+Tabla1[[#This Row],[STOCK MAYO 2021]]-Tabla1[[#This Row],[REQUISICIONES JUNIO 2021]]+Tabla1[[#This Row],[ENTRADAS JUNIO 2021]]</f>
        <v>11</v>
      </c>
      <c r="Z714" s="30" t="s">
        <v>12</v>
      </c>
      <c r="AA714" s="76">
        <v>0</v>
      </c>
      <c r="AB714" s="35">
        <f>AA714*0.18+AA714</f>
        <v>0</v>
      </c>
      <c r="AC714" s="93">
        <f>Tabla1[[#This Row],[STOCK JUNIO ]]*Tabla1[[#This Row],[COSTO UNITARIO SIN ITBIS]]</f>
        <v>0</v>
      </c>
    </row>
    <row r="715" spans="1:29" s="8" customFormat="1" x14ac:dyDescent="0.25">
      <c r="A715" s="266">
        <v>50</v>
      </c>
      <c r="B715" s="31">
        <v>44168</v>
      </c>
      <c r="C715" s="28" t="s">
        <v>11</v>
      </c>
      <c r="D715" s="31">
        <v>44154</v>
      </c>
      <c r="E715" s="137"/>
      <c r="F715" s="13"/>
      <c r="G715" s="32" t="s">
        <v>524</v>
      </c>
      <c r="H715" s="63">
        <v>5</v>
      </c>
      <c r="I715" s="63">
        <f>1+1</f>
        <v>2</v>
      </c>
      <c r="J715" s="63">
        <f>+'INVENTARIO ABRIL-JUNIO 2021'!$H715-'INVENTARIO ABRIL-JUNIO 2021'!$I715</f>
        <v>3</v>
      </c>
      <c r="K715" s="63"/>
      <c r="L715" s="63"/>
      <c r="M715" s="63"/>
      <c r="N715" s="63"/>
      <c r="O715" s="125"/>
      <c r="P715" s="63">
        <f>1+2</f>
        <v>3</v>
      </c>
      <c r="Q715" s="63"/>
      <c r="R715" s="63"/>
      <c r="S715" s="63"/>
      <c r="T715" s="63"/>
      <c r="U715" s="63">
        <f>+Tabla1[[#This Row],[STOCK    FISICO ENERO 2021]]-Tabla1[[#This Row],[REQUISICIONES FEBRERO 2021]]</f>
        <v>0</v>
      </c>
      <c r="V715" s="63">
        <f>+Tabla1[[#This Row],[STOCK  FEBRERO 2021]]-Tabla1[[#This Row],[REQUISICIONES MARZO 2021]]+Tabla1[[#This Row],[ENTRADAS MARZO 2021]]</f>
        <v>0</v>
      </c>
      <c r="W715" s="63">
        <f>+Tabla1[[#This Row],[STOCK MARZO 2021]]-Tabla1[[#This Row],[REQUISICIONES ABRIL 2021]]+Tabla1[[#This Row],[ENTRADAS ABRIL 2021]]</f>
        <v>0</v>
      </c>
      <c r="X715" s="63">
        <f>+Tabla1[[#This Row],[STOCK ABRIL 2021]]-Tabla1[[#This Row],[REQUISICIONES MAYO 2021]]+Tabla1[[#This Row],[ENTRADAS MAYO 2021]]</f>
        <v>0</v>
      </c>
      <c r="Y715" s="63">
        <f>+Tabla1[[#This Row],[STOCK MAYO 2021]]-Tabla1[[#This Row],[REQUISICIONES JUNIO 2021]]+Tabla1[[#This Row],[ENTRADAS JUNIO 2021]]</f>
        <v>0</v>
      </c>
      <c r="Z715" s="30" t="s">
        <v>12</v>
      </c>
      <c r="AA715" s="34">
        <v>435</v>
      </c>
      <c r="AB715" s="35">
        <f>AA715*0.18+AA715</f>
        <v>513.29999999999995</v>
      </c>
      <c r="AC715" s="93">
        <f>Tabla1[[#This Row],[STOCK JUNIO ]]*Tabla1[[#This Row],[COSTO UNITARIO SIN ITBIS]]</f>
        <v>0</v>
      </c>
    </row>
    <row r="716" spans="1:29" s="8" customFormat="1" x14ac:dyDescent="0.25">
      <c r="A716" s="266">
        <v>51</v>
      </c>
      <c r="B716" s="31"/>
      <c r="C716" s="28" t="s">
        <v>11</v>
      </c>
      <c r="D716" s="31"/>
      <c r="E716" s="137"/>
      <c r="F716" s="13"/>
      <c r="G716" s="32" t="s">
        <v>663</v>
      </c>
      <c r="H716" s="63">
        <v>8</v>
      </c>
      <c r="I716" s="63"/>
      <c r="J716" s="63">
        <f>+'INVENTARIO ABRIL-JUNIO 2021'!$H716-'INVENTARIO ABRIL-JUNIO 2021'!$I716</f>
        <v>8</v>
      </c>
      <c r="K716" s="63"/>
      <c r="L716" s="63"/>
      <c r="M716" s="63"/>
      <c r="N716" s="63"/>
      <c r="O716" s="125"/>
      <c r="P716" s="63">
        <f>1+2</f>
        <v>3</v>
      </c>
      <c r="Q716" s="63"/>
      <c r="R716" s="63"/>
      <c r="S716" s="63"/>
      <c r="T716" s="63"/>
      <c r="U716" s="63">
        <f>+Tabla1[[#This Row],[STOCK    FISICO ENERO 2021]]-Tabla1[[#This Row],[REQUISICIONES FEBRERO 2021]]</f>
        <v>5</v>
      </c>
      <c r="V716" s="63">
        <f>+Tabla1[[#This Row],[STOCK  FEBRERO 2021]]-Tabla1[[#This Row],[REQUISICIONES MARZO 2021]]+Tabla1[[#This Row],[ENTRADAS MARZO 2021]]</f>
        <v>5</v>
      </c>
      <c r="W716" s="63">
        <f>+Tabla1[[#This Row],[STOCK MARZO 2021]]-Tabla1[[#This Row],[REQUISICIONES ABRIL 2021]]+Tabla1[[#This Row],[ENTRADAS ABRIL 2021]]</f>
        <v>5</v>
      </c>
      <c r="X716" s="63">
        <f>+Tabla1[[#This Row],[STOCK ABRIL 2021]]-Tabla1[[#This Row],[REQUISICIONES MAYO 2021]]+Tabla1[[#This Row],[ENTRADAS MAYO 2021]]</f>
        <v>5</v>
      </c>
      <c r="Y716" s="63">
        <f>+Tabla1[[#This Row],[STOCK MAYO 2021]]-Tabla1[[#This Row],[REQUISICIONES JUNIO 2021]]+Tabla1[[#This Row],[ENTRADAS JUNIO 2021]]</f>
        <v>5</v>
      </c>
      <c r="Z716" s="30" t="s">
        <v>12</v>
      </c>
      <c r="AA716" s="34">
        <v>0</v>
      </c>
      <c r="AB716" s="35">
        <f t="shared" ref="AB716" si="29">AA716*0.18+AA716</f>
        <v>0</v>
      </c>
      <c r="AC716" s="93">
        <f>Tabla1[[#This Row],[STOCK JUNIO ]]*Tabla1[[#This Row],[COSTO UNITARIO SIN ITBIS]]</f>
        <v>0</v>
      </c>
    </row>
    <row r="717" spans="1:29" s="8" customFormat="1" x14ac:dyDescent="0.25">
      <c r="A717" s="266">
        <v>52</v>
      </c>
      <c r="B717" s="31">
        <v>43453</v>
      </c>
      <c r="C717" s="28" t="s">
        <v>11</v>
      </c>
      <c r="D717" s="31">
        <v>43453</v>
      </c>
      <c r="E717" s="137"/>
      <c r="F717" s="28">
        <v>1128</v>
      </c>
      <c r="G717" s="32" t="s">
        <v>665</v>
      </c>
      <c r="H717" s="63">
        <v>1</v>
      </c>
      <c r="I717" s="63"/>
      <c r="J717" s="63">
        <f>+'INVENTARIO ABRIL-JUNIO 2021'!$H717-'INVENTARIO ABRIL-JUNIO 2021'!$I717</f>
        <v>1</v>
      </c>
      <c r="K717" s="63"/>
      <c r="L717" s="63"/>
      <c r="M717" s="63"/>
      <c r="N717" s="63"/>
      <c r="O717" s="125"/>
      <c r="P717" s="63"/>
      <c r="Q717" s="63"/>
      <c r="R717" s="63"/>
      <c r="S717" s="63"/>
      <c r="T717" s="63"/>
      <c r="U717" s="63">
        <f>+Tabla1[[#This Row],[STOCK    FISICO ENERO 2021]]-Tabla1[[#This Row],[REQUISICIONES FEBRERO 2021]]</f>
        <v>1</v>
      </c>
      <c r="V717" s="63">
        <f>+Tabla1[[#This Row],[STOCK  FEBRERO 2021]]-Tabla1[[#This Row],[REQUISICIONES MARZO 2021]]+Tabla1[[#This Row],[ENTRADAS MARZO 2021]]</f>
        <v>1</v>
      </c>
      <c r="W717" s="63">
        <f>+Tabla1[[#This Row],[STOCK MARZO 2021]]-Tabla1[[#This Row],[REQUISICIONES ABRIL 2021]]+Tabla1[[#This Row],[ENTRADAS ABRIL 2021]]</f>
        <v>1</v>
      </c>
      <c r="X717" s="63">
        <f>+Tabla1[[#This Row],[STOCK ABRIL 2021]]-Tabla1[[#This Row],[REQUISICIONES MAYO 2021]]+Tabla1[[#This Row],[ENTRADAS MAYO 2021]]</f>
        <v>1</v>
      </c>
      <c r="Y717" s="63">
        <f>+Tabla1[[#This Row],[STOCK MAYO 2021]]-Tabla1[[#This Row],[REQUISICIONES JUNIO 2021]]+Tabla1[[#This Row],[ENTRADAS JUNIO 2021]]</f>
        <v>1</v>
      </c>
      <c r="Z717" s="30" t="s">
        <v>12</v>
      </c>
      <c r="AA717" s="34">
        <v>1200</v>
      </c>
      <c r="AB717" s="35">
        <f t="shared" ref="AB717:AB726" si="30">AA717*0.18+AA717</f>
        <v>1416</v>
      </c>
      <c r="AC717" s="93">
        <f>Tabla1[[#This Row],[STOCK JUNIO ]]*Tabla1[[#This Row],[COSTO UNITARIO SIN ITBIS]]</f>
        <v>1200</v>
      </c>
    </row>
    <row r="718" spans="1:29" s="8" customFormat="1" x14ac:dyDescent="0.25">
      <c r="A718" s="266">
        <v>53</v>
      </c>
      <c r="B718" s="31">
        <v>44168</v>
      </c>
      <c r="C718" s="28" t="s">
        <v>11</v>
      </c>
      <c r="D718" s="31">
        <v>44151</v>
      </c>
      <c r="E718" s="137"/>
      <c r="F718" s="13">
        <v>1284</v>
      </c>
      <c r="G718" s="75" t="s">
        <v>525</v>
      </c>
      <c r="H718" s="72">
        <v>13</v>
      </c>
      <c r="I718" s="72"/>
      <c r="J718" s="72">
        <f>+'INVENTARIO ABRIL-JUNIO 2021'!$H718-'INVENTARIO ABRIL-JUNIO 2021'!$I718</f>
        <v>13</v>
      </c>
      <c r="K718" s="72"/>
      <c r="L718" s="72"/>
      <c r="M718" s="72"/>
      <c r="N718" s="72"/>
      <c r="O718" s="296"/>
      <c r="P718" s="72">
        <v>1</v>
      </c>
      <c r="Q718" s="72">
        <f>1+3+1</f>
        <v>5</v>
      </c>
      <c r="R718" s="72">
        <f>3+2</f>
        <v>5</v>
      </c>
      <c r="S718" s="72"/>
      <c r="T718" s="72"/>
      <c r="U718" s="72">
        <f>+Tabla1[[#This Row],[STOCK    FISICO ENERO 2021]]-Tabla1[[#This Row],[REQUISICIONES FEBRERO 2021]]</f>
        <v>12</v>
      </c>
      <c r="V718" s="72">
        <f>+Tabla1[[#This Row],[STOCK  FEBRERO 2021]]-Tabla1[[#This Row],[REQUISICIONES MARZO 2021]]+Tabla1[[#This Row],[ENTRADAS MARZO 2021]]</f>
        <v>7</v>
      </c>
      <c r="W718" s="72">
        <f>+Tabla1[[#This Row],[STOCK MARZO 2021]]-Tabla1[[#This Row],[REQUISICIONES ABRIL 2021]]+Tabla1[[#This Row],[ENTRADAS ABRIL 2021]]</f>
        <v>2</v>
      </c>
      <c r="X718" s="72">
        <f>+Tabla1[[#This Row],[STOCK ABRIL 2021]]-Tabla1[[#This Row],[REQUISICIONES MAYO 2021]]+Tabla1[[#This Row],[ENTRADAS MAYO 2021]]</f>
        <v>2</v>
      </c>
      <c r="Y718" s="72">
        <f>+Tabla1[[#This Row],[STOCK MAYO 2021]]-Tabla1[[#This Row],[REQUISICIONES JUNIO 2021]]+Tabla1[[#This Row],[ENTRADAS JUNIO 2021]]</f>
        <v>2</v>
      </c>
      <c r="Z718" s="73" t="s">
        <v>105</v>
      </c>
      <c r="AA718" s="76">
        <v>0</v>
      </c>
      <c r="AB718" s="35">
        <f t="shared" si="30"/>
        <v>0</v>
      </c>
      <c r="AC718" s="93">
        <f>Tabla1[[#This Row],[STOCK JUNIO ]]*Tabla1[[#This Row],[COSTO UNITARIO SIN ITBIS]]</f>
        <v>0</v>
      </c>
    </row>
    <row r="719" spans="1:29" s="8" customFormat="1" x14ac:dyDescent="0.25">
      <c r="A719" s="266">
        <v>54</v>
      </c>
      <c r="B719" s="31">
        <v>44026</v>
      </c>
      <c r="C719" s="28" t="s">
        <v>11</v>
      </c>
      <c r="D719" s="31">
        <v>44026</v>
      </c>
      <c r="E719" s="137"/>
      <c r="F719" s="28">
        <v>1328</v>
      </c>
      <c r="G719" s="77" t="s">
        <v>666</v>
      </c>
      <c r="H719" s="72">
        <v>3</v>
      </c>
      <c r="I719" s="72"/>
      <c r="J719" s="72">
        <f>+'INVENTARIO ABRIL-JUNIO 2021'!$H719-'INVENTARIO ABRIL-JUNIO 2021'!$I719</f>
        <v>3</v>
      </c>
      <c r="K719" s="72"/>
      <c r="L719" s="72"/>
      <c r="M719" s="72"/>
      <c r="N719" s="72"/>
      <c r="O719" s="296"/>
      <c r="P719" s="72"/>
      <c r="Q719" s="72">
        <v>1</v>
      </c>
      <c r="R719" s="72"/>
      <c r="S719" s="72">
        <f>1+1</f>
        <v>2</v>
      </c>
      <c r="T719" s="72"/>
      <c r="U719" s="72">
        <f>+Tabla1[[#This Row],[STOCK    FISICO ENERO 2021]]-Tabla1[[#This Row],[REQUISICIONES FEBRERO 2021]]</f>
        <v>3</v>
      </c>
      <c r="V719" s="72">
        <f>+Tabla1[[#This Row],[STOCK  FEBRERO 2021]]-Tabla1[[#This Row],[REQUISICIONES MARZO 2021]]+Tabla1[[#This Row],[ENTRADAS MARZO 2021]]</f>
        <v>2</v>
      </c>
      <c r="W719" s="72">
        <f>+Tabla1[[#This Row],[STOCK MARZO 2021]]-Tabla1[[#This Row],[REQUISICIONES ABRIL 2021]]+Tabla1[[#This Row],[ENTRADAS ABRIL 2021]]</f>
        <v>2</v>
      </c>
      <c r="X719" s="72">
        <f>+Tabla1[[#This Row],[STOCK ABRIL 2021]]-Tabla1[[#This Row],[REQUISICIONES MAYO 2021]]+Tabla1[[#This Row],[ENTRADAS MAYO 2021]]</f>
        <v>0</v>
      </c>
      <c r="Y719" s="72">
        <f>+Tabla1[[#This Row],[STOCK MAYO 2021]]-Tabla1[[#This Row],[REQUISICIONES JUNIO 2021]]+Tabla1[[#This Row],[ENTRADAS JUNIO 2021]]</f>
        <v>0</v>
      </c>
      <c r="Z719" s="73" t="s">
        <v>105</v>
      </c>
      <c r="AA719" s="76">
        <v>0</v>
      </c>
      <c r="AB719" s="35">
        <f t="shared" si="30"/>
        <v>0</v>
      </c>
      <c r="AC719" s="93">
        <f>Tabla1[[#This Row],[STOCK JUNIO ]]*Tabla1[[#This Row],[COSTO UNITARIO SIN ITBIS]]</f>
        <v>0</v>
      </c>
    </row>
    <row r="720" spans="1:29" s="8" customFormat="1" x14ac:dyDescent="0.25">
      <c r="A720" s="266">
        <v>55</v>
      </c>
      <c r="B720" s="74">
        <v>43453</v>
      </c>
      <c r="C720" s="28" t="s">
        <v>11</v>
      </c>
      <c r="D720" s="74">
        <v>43453</v>
      </c>
      <c r="E720" s="145"/>
      <c r="F720" s="13"/>
      <c r="G720" s="77" t="s">
        <v>526</v>
      </c>
      <c r="H720" s="72">
        <v>4</v>
      </c>
      <c r="I720" s="72"/>
      <c r="J720" s="72">
        <f>+'INVENTARIO ABRIL-JUNIO 2021'!$H720-'INVENTARIO ABRIL-JUNIO 2021'!$I720</f>
        <v>4</v>
      </c>
      <c r="K720" s="72"/>
      <c r="L720" s="72"/>
      <c r="M720" s="72"/>
      <c r="N720" s="72"/>
      <c r="O720" s="296"/>
      <c r="P720" s="72">
        <v>1</v>
      </c>
      <c r="Q720" s="72"/>
      <c r="R720" s="72"/>
      <c r="S720" s="72"/>
      <c r="T720" s="72"/>
      <c r="U720" s="72">
        <f>+Tabla1[[#This Row],[STOCK    FISICO ENERO 2021]]-Tabla1[[#This Row],[REQUISICIONES FEBRERO 2021]]</f>
        <v>3</v>
      </c>
      <c r="V720" s="72">
        <f>+Tabla1[[#This Row],[STOCK  FEBRERO 2021]]-Tabla1[[#This Row],[REQUISICIONES MARZO 2021]]+Tabla1[[#This Row],[ENTRADAS MARZO 2021]]</f>
        <v>3</v>
      </c>
      <c r="W720" s="72">
        <f>+Tabla1[[#This Row],[STOCK MARZO 2021]]-Tabla1[[#This Row],[REQUISICIONES ABRIL 2021]]+Tabla1[[#This Row],[ENTRADAS ABRIL 2021]]</f>
        <v>3</v>
      </c>
      <c r="X720" s="72">
        <f>+Tabla1[[#This Row],[STOCK ABRIL 2021]]-Tabla1[[#This Row],[REQUISICIONES MAYO 2021]]+Tabla1[[#This Row],[ENTRADAS MAYO 2021]]</f>
        <v>3</v>
      </c>
      <c r="Y720" s="72">
        <f>+Tabla1[[#This Row],[STOCK MAYO 2021]]-Tabla1[[#This Row],[REQUISICIONES JUNIO 2021]]+Tabla1[[#This Row],[ENTRADAS JUNIO 2021]]</f>
        <v>3</v>
      </c>
      <c r="Z720" s="78" t="s">
        <v>12</v>
      </c>
      <c r="AA720" s="76">
        <v>1333</v>
      </c>
      <c r="AB720" s="35">
        <f t="shared" si="30"/>
        <v>1572.94</v>
      </c>
      <c r="AC720" s="93">
        <f>Tabla1[[#This Row],[STOCK JUNIO ]]*Tabla1[[#This Row],[COSTO UNITARIO SIN ITBIS]]</f>
        <v>3999</v>
      </c>
    </row>
    <row r="721" spans="1:29" s="8" customFormat="1" x14ac:dyDescent="0.25">
      <c r="A721" s="266">
        <v>56</v>
      </c>
      <c r="B721" s="74">
        <v>43088</v>
      </c>
      <c r="C721" s="28" t="s">
        <v>11</v>
      </c>
      <c r="D721" s="74">
        <v>43088</v>
      </c>
      <c r="E721" s="145"/>
      <c r="F721" s="13">
        <v>1136</v>
      </c>
      <c r="G721" s="32" t="s">
        <v>527</v>
      </c>
      <c r="H721" s="63">
        <v>65</v>
      </c>
      <c r="I721" s="63"/>
      <c r="J721" s="63">
        <f>+'INVENTARIO ABRIL-JUNIO 2021'!$H721-'INVENTARIO ABRIL-JUNIO 2021'!$I721</f>
        <v>65</v>
      </c>
      <c r="K721" s="63"/>
      <c r="L721" s="63"/>
      <c r="M721" s="63"/>
      <c r="N721" s="63"/>
      <c r="O721" s="125"/>
      <c r="P721" s="63"/>
      <c r="Q721" s="63"/>
      <c r="R721" s="63"/>
      <c r="S721" s="63"/>
      <c r="T721" s="63"/>
      <c r="U721" s="63">
        <f>+Tabla1[[#This Row],[STOCK    FISICO ENERO 2021]]-Tabla1[[#This Row],[REQUISICIONES FEBRERO 2021]]</f>
        <v>65</v>
      </c>
      <c r="V721" s="63">
        <f>+Tabla1[[#This Row],[STOCK  FEBRERO 2021]]-Tabla1[[#This Row],[REQUISICIONES MARZO 2021]]+Tabla1[[#This Row],[ENTRADAS MARZO 2021]]</f>
        <v>65</v>
      </c>
      <c r="W721" s="63">
        <f>+Tabla1[[#This Row],[STOCK MARZO 2021]]-Tabla1[[#This Row],[REQUISICIONES ABRIL 2021]]+Tabla1[[#This Row],[ENTRADAS ABRIL 2021]]</f>
        <v>65</v>
      </c>
      <c r="X721" s="63">
        <f>+Tabla1[[#This Row],[STOCK ABRIL 2021]]-Tabla1[[#This Row],[REQUISICIONES MAYO 2021]]+Tabla1[[#This Row],[ENTRADAS MAYO 2021]]</f>
        <v>65</v>
      </c>
      <c r="Y721" s="63">
        <f>+Tabla1[[#This Row],[STOCK MAYO 2021]]-Tabla1[[#This Row],[REQUISICIONES JUNIO 2021]]+Tabla1[[#This Row],[ENTRADAS JUNIO 2021]]</f>
        <v>65</v>
      </c>
      <c r="Z721" s="30" t="s">
        <v>12</v>
      </c>
      <c r="AA721" s="34">
        <v>94.4</v>
      </c>
      <c r="AB721" s="35">
        <f t="shared" si="30"/>
        <v>111.39200000000001</v>
      </c>
      <c r="AC721" s="93">
        <f>Tabla1[[#This Row],[STOCK JUNIO ]]*Tabla1[[#This Row],[COSTO UNITARIO SIN ITBIS]]</f>
        <v>6136</v>
      </c>
    </row>
    <row r="722" spans="1:29" s="8" customFormat="1" x14ac:dyDescent="0.25">
      <c r="A722" s="266">
        <v>57</v>
      </c>
      <c r="B722" s="31">
        <v>43088</v>
      </c>
      <c r="C722" s="28" t="s">
        <v>11</v>
      </c>
      <c r="D722" s="31">
        <v>43088</v>
      </c>
      <c r="E722" s="137"/>
      <c r="F722" s="13">
        <v>1135</v>
      </c>
      <c r="G722" s="32" t="s">
        <v>528</v>
      </c>
      <c r="H722" s="63">
        <v>2</v>
      </c>
      <c r="I722" s="63"/>
      <c r="J722" s="63">
        <f>+'INVENTARIO ABRIL-JUNIO 2021'!$H722-'INVENTARIO ABRIL-JUNIO 2021'!$I722</f>
        <v>2</v>
      </c>
      <c r="K722" s="63"/>
      <c r="L722" s="63"/>
      <c r="M722" s="63"/>
      <c r="N722" s="63"/>
      <c r="O722" s="125"/>
      <c r="P722" s="63"/>
      <c r="Q722" s="63"/>
      <c r="R722" s="63"/>
      <c r="S722" s="63"/>
      <c r="T722" s="63"/>
      <c r="U722" s="63">
        <f>+Tabla1[[#This Row],[STOCK    FISICO ENERO 2021]]-Tabla1[[#This Row],[REQUISICIONES FEBRERO 2021]]</f>
        <v>2</v>
      </c>
      <c r="V722" s="63">
        <f>+Tabla1[[#This Row],[STOCK  FEBRERO 2021]]-Tabla1[[#This Row],[REQUISICIONES MARZO 2021]]+Tabla1[[#This Row],[ENTRADAS MARZO 2021]]</f>
        <v>2</v>
      </c>
      <c r="W722" s="63">
        <f>+Tabla1[[#This Row],[STOCK MARZO 2021]]-Tabla1[[#This Row],[REQUISICIONES ABRIL 2021]]+Tabla1[[#This Row],[ENTRADAS ABRIL 2021]]</f>
        <v>2</v>
      </c>
      <c r="X722" s="63">
        <f>+Tabla1[[#This Row],[STOCK ABRIL 2021]]-Tabla1[[#This Row],[REQUISICIONES MAYO 2021]]+Tabla1[[#This Row],[ENTRADAS MAYO 2021]]</f>
        <v>2</v>
      </c>
      <c r="Y722" s="63">
        <f>+Tabla1[[#This Row],[STOCK MAYO 2021]]-Tabla1[[#This Row],[REQUISICIONES JUNIO 2021]]+Tabla1[[#This Row],[ENTRADAS JUNIO 2021]]</f>
        <v>2</v>
      </c>
      <c r="Z722" s="30" t="s">
        <v>12</v>
      </c>
      <c r="AA722" s="34">
        <v>360</v>
      </c>
      <c r="AB722" s="35">
        <f t="shared" si="30"/>
        <v>424.8</v>
      </c>
      <c r="AC722" s="93">
        <f>Tabla1[[#This Row],[STOCK JUNIO ]]*Tabla1[[#This Row],[COSTO UNITARIO SIN ITBIS]]</f>
        <v>720</v>
      </c>
    </row>
    <row r="723" spans="1:29" s="8" customFormat="1" x14ac:dyDescent="0.25">
      <c r="A723" s="266">
        <v>58</v>
      </c>
      <c r="B723" s="74">
        <v>43397</v>
      </c>
      <c r="C723" s="28" t="s">
        <v>11</v>
      </c>
      <c r="D723" s="74">
        <v>43397</v>
      </c>
      <c r="E723" s="145"/>
      <c r="F723" s="28">
        <v>1137</v>
      </c>
      <c r="G723" s="75" t="s">
        <v>529</v>
      </c>
      <c r="H723" s="72">
        <v>1</v>
      </c>
      <c r="I723" s="72"/>
      <c r="J723" s="72">
        <f>+'INVENTARIO ABRIL-JUNIO 2021'!$H723-'INVENTARIO ABRIL-JUNIO 2021'!$I723</f>
        <v>1</v>
      </c>
      <c r="K723" s="72"/>
      <c r="L723" s="72"/>
      <c r="M723" s="72"/>
      <c r="N723" s="72"/>
      <c r="O723" s="296"/>
      <c r="P723" s="72"/>
      <c r="Q723" s="72"/>
      <c r="R723" s="72">
        <v>1</v>
      </c>
      <c r="S723" s="72"/>
      <c r="T723" s="72"/>
      <c r="U723" s="72">
        <f>+Tabla1[[#This Row],[STOCK    FISICO ENERO 2021]]-Tabla1[[#This Row],[REQUISICIONES FEBRERO 2021]]</f>
        <v>1</v>
      </c>
      <c r="V723" s="72">
        <f>+Tabla1[[#This Row],[STOCK  FEBRERO 2021]]-Tabla1[[#This Row],[REQUISICIONES MARZO 2021]]+Tabla1[[#This Row],[ENTRADAS MARZO 2021]]</f>
        <v>1</v>
      </c>
      <c r="W723" s="72">
        <f>+Tabla1[[#This Row],[STOCK MARZO 2021]]-Tabla1[[#This Row],[REQUISICIONES ABRIL 2021]]+Tabla1[[#This Row],[ENTRADAS ABRIL 2021]]</f>
        <v>0</v>
      </c>
      <c r="X723" s="72">
        <f>+Tabla1[[#This Row],[STOCK ABRIL 2021]]-Tabla1[[#This Row],[REQUISICIONES MAYO 2021]]+Tabla1[[#This Row],[ENTRADAS MAYO 2021]]</f>
        <v>0</v>
      </c>
      <c r="Y723" s="72">
        <f>+Tabla1[[#This Row],[STOCK MAYO 2021]]-Tabla1[[#This Row],[REQUISICIONES JUNIO 2021]]+Tabla1[[#This Row],[ENTRADAS JUNIO 2021]]</f>
        <v>0</v>
      </c>
      <c r="Z723" s="73" t="s">
        <v>12</v>
      </c>
      <c r="AA723" s="76">
        <v>360</v>
      </c>
      <c r="AB723" s="35">
        <f t="shared" si="30"/>
        <v>424.8</v>
      </c>
      <c r="AC723" s="93">
        <f>Tabla1[[#This Row],[STOCK JUNIO ]]*Tabla1[[#This Row],[COSTO UNITARIO SIN ITBIS]]</f>
        <v>0</v>
      </c>
    </row>
    <row r="724" spans="1:29" s="8" customFormat="1" x14ac:dyDescent="0.25">
      <c r="A724" s="266">
        <v>59</v>
      </c>
      <c r="B724" s="74">
        <v>44167</v>
      </c>
      <c r="C724" s="28" t="s">
        <v>11</v>
      </c>
      <c r="D724" s="74">
        <v>44166</v>
      </c>
      <c r="E724" s="145"/>
      <c r="F724" s="13">
        <v>1138</v>
      </c>
      <c r="G724" s="32" t="s">
        <v>530</v>
      </c>
      <c r="H724" s="63">
        <v>1</v>
      </c>
      <c r="I724" s="63"/>
      <c r="J724" s="63">
        <f>+'INVENTARIO ABRIL-JUNIO 2021'!$H724-'INVENTARIO ABRIL-JUNIO 2021'!$I724</f>
        <v>1</v>
      </c>
      <c r="K724" s="63"/>
      <c r="L724" s="63"/>
      <c r="M724" s="63"/>
      <c r="N724" s="63"/>
      <c r="O724" s="125"/>
      <c r="P724" s="63"/>
      <c r="Q724" s="63"/>
      <c r="R724" s="63">
        <v>1</v>
      </c>
      <c r="S724" s="63"/>
      <c r="T724" s="63"/>
      <c r="U724" s="63">
        <f>+Tabla1[[#This Row],[STOCK    FISICO ENERO 2021]]-Tabla1[[#This Row],[REQUISICIONES FEBRERO 2021]]</f>
        <v>1</v>
      </c>
      <c r="V724" s="63">
        <f>+Tabla1[[#This Row],[STOCK  FEBRERO 2021]]-Tabla1[[#This Row],[REQUISICIONES MARZO 2021]]+Tabla1[[#This Row],[ENTRADAS MARZO 2021]]</f>
        <v>1</v>
      </c>
      <c r="W724" s="63">
        <f>+Tabla1[[#This Row],[STOCK MARZO 2021]]-Tabla1[[#This Row],[REQUISICIONES ABRIL 2021]]+Tabla1[[#This Row],[ENTRADAS ABRIL 2021]]</f>
        <v>0</v>
      </c>
      <c r="X724" s="63">
        <f>+Tabla1[[#This Row],[STOCK ABRIL 2021]]-Tabla1[[#This Row],[REQUISICIONES MAYO 2021]]+Tabla1[[#This Row],[ENTRADAS MAYO 2021]]</f>
        <v>0</v>
      </c>
      <c r="Y724" s="63">
        <f>+Tabla1[[#This Row],[STOCK MAYO 2021]]-Tabla1[[#This Row],[REQUISICIONES JUNIO 2021]]+Tabla1[[#This Row],[ENTRADAS JUNIO 2021]]</f>
        <v>0</v>
      </c>
      <c r="Z724" s="30" t="s">
        <v>12</v>
      </c>
      <c r="AA724" s="34">
        <v>255</v>
      </c>
      <c r="AB724" s="35">
        <f t="shared" si="30"/>
        <v>300.89999999999998</v>
      </c>
      <c r="AC724" s="93">
        <f>Tabla1[[#This Row],[STOCK JUNIO ]]*Tabla1[[#This Row],[COSTO UNITARIO SIN ITBIS]]</f>
        <v>0</v>
      </c>
    </row>
    <row r="725" spans="1:29" s="8" customFormat="1" x14ac:dyDescent="0.25">
      <c r="A725" s="266">
        <v>60</v>
      </c>
      <c r="B725" s="31">
        <v>44169</v>
      </c>
      <c r="C725" s="28" t="s">
        <v>11</v>
      </c>
      <c r="D725" s="31">
        <v>44147</v>
      </c>
      <c r="E725" s="137"/>
      <c r="F725" s="28">
        <v>1134</v>
      </c>
      <c r="G725" s="75" t="s">
        <v>667</v>
      </c>
      <c r="H725" s="72">
        <v>1</v>
      </c>
      <c r="I725" s="72"/>
      <c r="J725" s="72">
        <f>+'INVENTARIO ABRIL-JUNIO 2021'!$H725-'INVENTARIO ABRIL-JUNIO 2021'!$I725</f>
        <v>1</v>
      </c>
      <c r="K725" s="72"/>
      <c r="L725" s="72"/>
      <c r="M725" s="72"/>
      <c r="N725" s="72"/>
      <c r="O725" s="296"/>
      <c r="P725" s="72"/>
      <c r="Q725" s="72"/>
      <c r="R725" s="72">
        <v>1</v>
      </c>
      <c r="S725" s="72"/>
      <c r="T725" s="72"/>
      <c r="U725" s="72">
        <f>+Tabla1[[#This Row],[STOCK    FISICO ENERO 2021]]-Tabla1[[#This Row],[REQUISICIONES FEBRERO 2021]]</f>
        <v>1</v>
      </c>
      <c r="V725" s="72">
        <f>+Tabla1[[#This Row],[STOCK  FEBRERO 2021]]-Tabla1[[#This Row],[REQUISICIONES MARZO 2021]]+Tabla1[[#This Row],[ENTRADAS MARZO 2021]]</f>
        <v>1</v>
      </c>
      <c r="W725" s="72">
        <f>+Tabla1[[#This Row],[STOCK MARZO 2021]]-Tabla1[[#This Row],[REQUISICIONES ABRIL 2021]]+Tabla1[[#This Row],[ENTRADAS ABRIL 2021]]</f>
        <v>0</v>
      </c>
      <c r="X725" s="72">
        <f>+Tabla1[[#This Row],[STOCK ABRIL 2021]]-Tabla1[[#This Row],[REQUISICIONES MAYO 2021]]+Tabla1[[#This Row],[ENTRADAS MAYO 2021]]</f>
        <v>0</v>
      </c>
      <c r="Y725" s="72">
        <f>+Tabla1[[#This Row],[STOCK MAYO 2021]]-Tabla1[[#This Row],[REQUISICIONES JUNIO 2021]]+Tabla1[[#This Row],[ENTRADAS JUNIO 2021]]</f>
        <v>0</v>
      </c>
      <c r="Z725" s="73" t="s">
        <v>12</v>
      </c>
      <c r="AA725" s="76">
        <v>550</v>
      </c>
      <c r="AB725" s="35">
        <f t="shared" si="30"/>
        <v>649</v>
      </c>
      <c r="AC725" s="93">
        <f>Tabla1[[#This Row],[STOCK JUNIO ]]*Tabla1[[#This Row],[COSTO UNITARIO SIN ITBIS]]</f>
        <v>0</v>
      </c>
    </row>
    <row r="726" spans="1:29" s="8" customFormat="1" x14ac:dyDescent="0.25">
      <c r="A726" s="266">
        <v>61</v>
      </c>
      <c r="B726" s="31"/>
      <c r="C726" s="28" t="s">
        <v>11</v>
      </c>
      <c r="D726" s="31"/>
      <c r="E726" s="137"/>
      <c r="F726" s="13"/>
      <c r="G726" s="32" t="s">
        <v>675</v>
      </c>
      <c r="H726" s="63">
        <v>2</v>
      </c>
      <c r="I726" s="63"/>
      <c r="J726" s="63">
        <f>+'INVENTARIO ABRIL-JUNIO 2021'!$H726-'INVENTARIO ABRIL-JUNIO 2021'!$I726</f>
        <v>2</v>
      </c>
      <c r="K726" s="63"/>
      <c r="L726" s="63"/>
      <c r="M726" s="63"/>
      <c r="N726" s="63"/>
      <c r="O726" s="125"/>
      <c r="P726" s="63"/>
      <c r="Q726" s="63">
        <v>1</v>
      </c>
      <c r="R726" s="63"/>
      <c r="S726" s="63"/>
      <c r="T726" s="63"/>
      <c r="U726" s="63">
        <f>+Tabla1[[#This Row],[STOCK    FISICO ENERO 2021]]-Tabla1[[#This Row],[REQUISICIONES FEBRERO 2021]]</f>
        <v>2</v>
      </c>
      <c r="V726" s="63">
        <f>+Tabla1[[#This Row],[STOCK  FEBRERO 2021]]-Tabla1[[#This Row],[REQUISICIONES MARZO 2021]]+Tabla1[[#This Row],[ENTRADAS MARZO 2021]]</f>
        <v>1</v>
      </c>
      <c r="W726" s="63">
        <f>+Tabla1[[#This Row],[STOCK MARZO 2021]]-Tabla1[[#This Row],[REQUISICIONES ABRIL 2021]]+Tabla1[[#This Row],[ENTRADAS ABRIL 2021]]</f>
        <v>1</v>
      </c>
      <c r="X726" s="63">
        <f>+Tabla1[[#This Row],[STOCK ABRIL 2021]]-Tabla1[[#This Row],[REQUISICIONES MAYO 2021]]+Tabla1[[#This Row],[ENTRADAS MAYO 2021]]</f>
        <v>1</v>
      </c>
      <c r="Y726" s="63">
        <f>+Tabla1[[#This Row],[STOCK MAYO 2021]]-Tabla1[[#This Row],[REQUISICIONES JUNIO 2021]]+Tabla1[[#This Row],[ENTRADAS JUNIO 2021]]</f>
        <v>1</v>
      </c>
      <c r="Z726" s="73" t="s">
        <v>12</v>
      </c>
      <c r="AA726" s="34">
        <v>0</v>
      </c>
      <c r="AB726" s="35">
        <f t="shared" si="30"/>
        <v>0</v>
      </c>
      <c r="AC726" s="93">
        <f>Tabla1[[#This Row],[STOCK JUNIO ]]*Tabla1[[#This Row],[COSTO UNITARIO SIN ITBIS]]</f>
        <v>0</v>
      </c>
    </row>
    <row r="727" spans="1:29" s="8" customFormat="1" x14ac:dyDescent="0.25">
      <c r="A727" s="266">
        <v>62</v>
      </c>
      <c r="B727" s="31">
        <v>43636</v>
      </c>
      <c r="C727" s="28" t="s">
        <v>11</v>
      </c>
      <c r="D727" s="31">
        <v>43633</v>
      </c>
      <c r="E727" s="137"/>
      <c r="F727" s="28">
        <v>1515</v>
      </c>
      <c r="G727" s="75" t="s">
        <v>668</v>
      </c>
      <c r="H727" s="72">
        <v>1</v>
      </c>
      <c r="I727" s="72"/>
      <c r="J727" s="72">
        <f>+'INVENTARIO ABRIL-JUNIO 2021'!$H727-'INVENTARIO ABRIL-JUNIO 2021'!$I727</f>
        <v>1</v>
      </c>
      <c r="K727" s="72"/>
      <c r="L727" s="72"/>
      <c r="M727" s="72"/>
      <c r="N727" s="72"/>
      <c r="O727" s="296"/>
      <c r="P727" s="72"/>
      <c r="Q727" s="72"/>
      <c r="R727" s="72"/>
      <c r="S727" s="72"/>
      <c r="T727" s="72"/>
      <c r="U727" s="72">
        <f>+Tabla1[[#This Row],[STOCK    FISICO ENERO 2021]]-Tabla1[[#This Row],[REQUISICIONES FEBRERO 2021]]</f>
        <v>1</v>
      </c>
      <c r="V727" s="72">
        <f>+Tabla1[[#This Row],[STOCK  FEBRERO 2021]]-Tabla1[[#This Row],[REQUISICIONES MARZO 2021]]+Tabla1[[#This Row],[ENTRADAS MARZO 2021]]</f>
        <v>1</v>
      </c>
      <c r="W727" s="72">
        <f>+Tabla1[[#This Row],[STOCK MARZO 2021]]-Tabla1[[#This Row],[REQUISICIONES ABRIL 2021]]+Tabla1[[#This Row],[ENTRADAS ABRIL 2021]]</f>
        <v>1</v>
      </c>
      <c r="X727" s="72">
        <f>+Tabla1[[#This Row],[STOCK ABRIL 2021]]-Tabla1[[#This Row],[REQUISICIONES MAYO 2021]]+Tabla1[[#This Row],[ENTRADAS MAYO 2021]]</f>
        <v>1</v>
      </c>
      <c r="Y727" s="72">
        <f>+Tabla1[[#This Row],[STOCK MAYO 2021]]-Tabla1[[#This Row],[REQUISICIONES JUNIO 2021]]+Tabla1[[#This Row],[ENTRADAS JUNIO 2021]]</f>
        <v>1</v>
      </c>
      <c r="Z727" s="73" t="s">
        <v>12</v>
      </c>
      <c r="AA727" s="76">
        <v>85</v>
      </c>
      <c r="AB727" s="35">
        <f t="shared" ref="AB727:AB740" si="31">AA727*0.18+AA727</f>
        <v>100.3</v>
      </c>
      <c r="AC727" s="93">
        <f>Tabla1[[#This Row],[STOCK JUNIO ]]*Tabla1[[#This Row],[COSTO UNITARIO SIN ITBIS]]</f>
        <v>85</v>
      </c>
    </row>
    <row r="728" spans="1:29" s="8" customFormat="1" x14ac:dyDescent="0.25">
      <c r="A728" s="266">
        <v>63</v>
      </c>
      <c r="B728" s="74">
        <v>42991</v>
      </c>
      <c r="C728" s="28" t="s">
        <v>11</v>
      </c>
      <c r="D728" s="74">
        <v>42991</v>
      </c>
      <c r="E728" s="145"/>
      <c r="F728" s="13">
        <v>1516</v>
      </c>
      <c r="G728" s="32" t="s">
        <v>669</v>
      </c>
      <c r="H728" s="63">
        <v>2</v>
      </c>
      <c r="I728" s="63"/>
      <c r="J728" s="63">
        <f>+'INVENTARIO ABRIL-JUNIO 2021'!$H728-'INVENTARIO ABRIL-JUNIO 2021'!$I728</f>
        <v>2</v>
      </c>
      <c r="K728" s="63"/>
      <c r="L728" s="63"/>
      <c r="M728" s="63"/>
      <c r="N728" s="63"/>
      <c r="O728" s="125"/>
      <c r="P728" s="63"/>
      <c r="Q728" s="63"/>
      <c r="R728" s="63"/>
      <c r="S728" s="63"/>
      <c r="T728" s="63"/>
      <c r="U728" s="63">
        <f>+Tabla1[[#This Row],[STOCK    FISICO ENERO 2021]]-Tabla1[[#This Row],[REQUISICIONES FEBRERO 2021]]</f>
        <v>2</v>
      </c>
      <c r="V728" s="63">
        <f>+Tabla1[[#This Row],[STOCK  FEBRERO 2021]]-Tabla1[[#This Row],[REQUISICIONES MARZO 2021]]+Tabla1[[#This Row],[ENTRADAS MARZO 2021]]</f>
        <v>2</v>
      </c>
      <c r="W728" s="63">
        <f>+Tabla1[[#This Row],[STOCK MARZO 2021]]-Tabla1[[#This Row],[REQUISICIONES ABRIL 2021]]+Tabla1[[#This Row],[ENTRADAS ABRIL 2021]]</f>
        <v>2</v>
      </c>
      <c r="X728" s="63">
        <f>+Tabla1[[#This Row],[STOCK ABRIL 2021]]-Tabla1[[#This Row],[REQUISICIONES MAYO 2021]]+Tabla1[[#This Row],[ENTRADAS MAYO 2021]]</f>
        <v>2</v>
      </c>
      <c r="Y728" s="63">
        <f>+Tabla1[[#This Row],[STOCK MAYO 2021]]-Tabla1[[#This Row],[REQUISICIONES JUNIO 2021]]+Tabla1[[#This Row],[ENTRADAS JUNIO 2021]]</f>
        <v>2</v>
      </c>
      <c r="Z728" s="30" t="s">
        <v>105</v>
      </c>
      <c r="AA728" s="34">
        <v>50.85</v>
      </c>
      <c r="AB728" s="35">
        <f t="shared" si="31"/>
        <v>60.003</v>
      </c>
      <c r="AC728" s="93">
        <f>Tabla1[[#This Row],[STOCK JUNIO ]]*Tabla1[[#This Row],[COSTO UNITARIO SIN ITBIS]]</f>
        <v>101.7</v>
      </c>
    </row>
    <row r="729" spans="1:29" s="8" customFormat="1" x14ac:dyDescent="0.25">
      <c r="A729" s="266">
        <v>64</v>
      </c>
      <c r="B729" s="31">
        <v>42991</v>
      </c>
      <c r="C729" s="28" t="s">
        <v>11</v>
      </c>
      <c r="D729" s="31">
        <v>42991</v>
      </c>
      <c r="E729" s="137"/>
      <c r="F729" s="28">
        <v>1514</v>
      </c>
      <c r="G729" s="75" t="s">
        <v>670</v>
      </c>
      <c r="H729" s="72">
        <v>6</v>
      </c>
      <c r="I729" s="72"/>
      <c r="J729" s="72">
        <f>+'INVENTARIO ABRIL-JUNIO 2021'!$H729-'INVENTARIO ABRIL-JUNIO 2021'!$I729</f>
        <v>6</v>
      </c>
      <c r="K729" s="72"/>
      <c r="L729" s="72"/>
      <c r="M729" s="72"/>
      <c r="N729" s="72"/>
      <c r="O729" s="296"/>
      <c r="P729" s="72"/>
      <c r="Q729" s="72"/>
      <c r="R729" s="72"/>
      <c r="S729" s="72"/>
      <c r="T729" s="72"/>
      <c r="U729" s="72">
        <f>+Tabla1[[#This Row],[STOCK    FISICO ENERO 2021]]-Tabla1[[#This Row],[REQUISICIONES FEBRERO 2021]]</f>
        <v>6</v>
      </c>
      <c r="V729" s="72">
        <f>+Tabla1[[#This Row],[STOCK  FEBRERO 2021]]-Tabla1[[#This Row],[REQUISICIONES MARZO 2021]]+Tabla1[[#This Row],[ENTRADAS MARZO 2021]]</f>
        <v>6</v>
      </c>
      <c r="W729" s="72">
        <f>+Tabla1[[#This Row],[STOCK MARZO 2021]]-Tabla1[[#This Row],[REQUISICIONES ABRIL 2021]]+Tabla1[[#This Row],[ENTRADAS ABRIL 2021]]</f>
        <v>6</v>
      </c>
      <c r="X729" s="72">
        <f>+Tabla1[[#This Row],[STOCK ABRIL 2021]]-Tabla1[[#This Row],[REQUISICIONES MAYO 2021]]+Tabla1[[#This Row],[ENTRADAS MAYO 2021]]</f>
        <v>6</v>
      </c>
      <c r="Y729" s="72">
        <f>+Tabla1[[#This Row],[STOCK MAYO 2021]]-Tabla1[[#This Row],[REQUISICIONES JUNIO 2021]]+Tabla1[[#This Row],[ENTRADAS JUNIO 2021]]</f>
        <v>6</v>
      </c>
      <c r="Z729" s="73" t="s">
        <v>105</v>
      </c>
      <c r="AA729" s="76">
        <v>61.02</v>
      </c>
      <c r="AB729" s="35">
        <f t="shared" si="31"/>
        <v>72.003600000000006</v>
      </c>
      <c r="AC729" s="93">
        <f>Tabla1[[#This Row],[STOCK JUNIO ]]*Tabla1[[#This Row],[COSTO UNITARIO SIN ITBIS]]</f>
        <v>366.12</v>
      </c>
    </row>
    <row r="730" spans="1:29" s="8" customFormat="1" x14ac:dyDescent="0.25">
      <c r="A730" s="266">
        <v>65</v>
      </c>
      <c r="B730" s="74">
        <v>42991</v>
      </c>
      <c r="C730" s="28" t="s">
        <v>11</v>
      </c>
      <c r="D730" s="74">
        <v>42991</v>
      </c>
      <c r="E730" s="145"/>
      <c r="F730" s="13">
        <v>1140</v>
      </c>
      <c r="G730" s="32" t="s">
        <v>531</v>
      </c>
      <c r="H730" s="63">
        <v>3</v>
      </c>
      <c r="I730" s="63"/>
      <c r="J730" s="63">
        <f>+'INVENTARIO ABRIL-JUNIO 2021'!$H730-'INVENTARIO ABRIL-JUNIO 2021'!$I730</f>
        <v>3</v>
      </c>
      <c r="K730" s="63"/>
      <c r="L730" s="63"/>
      <c r="M730" s="63"/>
      <c r="N730" s="63"/>
      <c r="O730" s="125"/>
      <c r="P730" s="63"/>
      <c r="Q730" s="63"/>
      <c r="R730" s="63"/>
      <c r="S730" s="63">
        <v>1</v>
      </c>
      <c r="T730" s="63"/>
      <c r="U730" s="63">
        <f>+Tabla1[[#This Row],[STOCK    FISICO ENERO 2021]]-Tabla1[[#This Row],[REQUISICIONES FEBRERO 2021]]</f>
        <v>3</v>
      </c>
      <c r="V730" s="63">
        <f>+Tabla1[[#This Row],[STOCK  FEBRERO 2021]]-Tabla1[[#This Row],[REQUISICIONES MARZO 2021]]+Tabla1[[#This Row],[ENTRADAS MARZO 2021]]</f>
        <v>3</v>
      </c>
      <c r="W730" s="63">
        <f>+Tabla1[[#This Row],[STOCK MARZO 2021]]-Tabla1[[#This Row],[REQUISICIONES ABRIL 2021]]+Tabla1[[#This Row],[ENTRADAS ABRIL 2021]]</f>
        <v>3</v>
      </c>
      <c r="X730" s="63">
        <f>+Tabla1[[#This Row],[STOCK ABRIL 2021]]-Tabla1[[#This Row],[REQUISICIONES MAYO 2021]]+Tabla1[[#This Row],[ENTRADAS MAYO 2021]]</f>
        <v>2</v>
      </c>
      <c r="Y730" s="63">
        <f>+Tabla1[[#This Row],[STOCK MAYO 2021]]-Tabla1[[#This Row],[REQUISICIONES JUNIO 2021]]+Tabla1[[#This Row],[ENTRADAS JUNIO 2021]]</f>
        <v>2</v>
      </c>
      <c r="Z730" s="30" t="s">
        <v>105</v>
      </c>
      <c r="AA730" s="34">
        <v>50.8</v>
      </c>
      <c r="AB730" s="35">
        <f t="shared" si="31"/>
        <v>59.943999999999996</v>
      </c>
      <c r="AC730" s="93">
        <f>Tabla1[[#This Row],[STOCK JUNIO ]]*Tabla1[[#This Row],[COSTO UNITARIO SIN ITBIS]]</f>
        <v>101.6</v>
      </c>
    </row>
    <row r="731" spans="1:29" s="12" customFormat="1" x14ac:dyDescent="0.25">
      <c r="A731" s="266">
        <v>66</v>
      </c>
      <c r="B731" s="31">
        <v>44026</v>
      </c>
      <c r="C731" s="28" t="s">
        <v>11</v>
      </c>
      <c r="D731" s="31">
        <v>44026</v>
      </c>
      <c r="E731" s="137"/>
      <c r="F731" s="28">
        <v>1519</v>
      </c>
      <c r="G731" s="75" t="s">
        <v>532</v>
      </c>
      <c r="H731" s="72">
        <v>6</v>
      </c>
      <c r="I731" s="72"/>
      <c r="J731" s="72">
        <f>+'INVENTARIO ABRIL-JUNIO 2021'!$H731-'INVENTARIO ABRIL-JUNIO 2021'!$I731</f>
        <v>6</v>
      </c>
      <c r="K731" s="72"/>
      <c r="L731" s="72"/>
      <c r="M731" s="72"/>
      <c r="N731" s="72"/>
      <c r="O731" s="296"/>
      <c r="P731" s="72"/>
      <c r="Q731" s="72"/>
      <c r="R731" s="72"/>
      <c r="S731" s="72"/>
      <c r="T731" s="72"/>
      <c r="U731" s="72">
        <f>+Tabla1[[#This Row],[STOCK    FISICO ENERO 2021]]-Tabla1[[#This Row],[REQUISICIONES FEBRERO 2021]]</f>
        <v>6</v>
      </c>
      <c r="V731" s="72">
        <f>+Tabla1[[#This Row],[STOCK  FEBRERO 2021]]-Tabla1[[#This Row],[REQUISICIONES MARZO 2021]]+Tabla1[[#This Row],[ENTRADAS MARZO 2021]]</f>
        <v>6</v>
      </c>
      <c r="W731" s="72">
        <f>+Tabla1[[#This Row],[STOCK MARZO 2021]]-Tabla1[[#This Row],[REQUISICIONES ABRIL 2021]]+Tabla1[[#This Row],[ENTRADAS ABRIL 2021]]</f>
        <v>6</v>
      </c>
      <c r="X731" s="72">
        <f>+Tabla1[[#This Row],[STOCK ABRIL 2021]]-Tabla1[[#This Row],[REQUISICIONES MAYO 2021]]+Tabla1[[#This Row],[ENTRADAS MAYO 2021]]</f>
        <v>6</v>
      </c>
      <c r="Y731" s="72">
        <f>+Tabla1[[#This Row],[STOCK MAYO 2021]]-Tabla1[[#This Row],[REQUISICIONES JUNIO 2021]]+Tabla1[[#This Row],[ENTRADAS JUNIO 2021]]</f>
        <v>6</v>
      </c>
      <c r="Z731" s="73" t="s">
        <v>12</v>
      </c>
      <c r="AA731" s="76">
        <v>222</v>
      </c>
      <c r="AB731" s="35">
        <f t="shared" si="31"/>
        <v>261.95999999999998</v>
      </c>
      <c r="AC731" s="93">
        <f>Tabla1[[#This Row],[STOCK JUNIO ]]*Tabla1[[#This Row],[COSTO UNITARIO SIN ITBIS]]</f>
        <v>1332</v>
      </c>
    </row>
    <row r="732" spans="1:29" s="12" customFormat="1" x14ac:dyDescent="0.25">
      <c r="A732" s="266">
        <v>67</v>
      </c>
      <c r="B732" s="74">
        <v>44168</v>
      </c>
      <c r="C732" s="28" t="s">
        <v>11</v>
      </c>
      <c r="D732" s="74">
        <v>44154</v>
      </c>
      <c r="E732" s="145"/>
      <c r="F732" s="13">
        <v>1518</v>
      </c>
      <c r="G732" s="32" t="s">
        <v>533</v>
      </c>
      <c r="H732" s="63">
        <v>4</v>
      </c>
      <c r="I732" s="63"/>
      <c r="J732" s="63">
        <f>+'INVENTARIO ABRIL-JUNIO 2021'!$H732-'INVENTARIO ABRIL-JUNIO 2021'!$I732</f>
        <v>4</v>
      </c>
      <c r="K732" s="63"/>
      <c r="L732" s="63"/>
      <c r="M732" s="63"/>
      <c r="N732" s="63"/>
      <c r="O732" s="125"/>
      <c r="P732" s="63"/>
      <c r="Q732" s="63"/>
      <c r="R732" s="63"/>
      <c r="S732" s="63"/>
      <c r="T732" s="63"/>
      <c r="U732" s="63">
        <f>+Tabla1[[#This Row],[STOCK    FISICO ENERO 2021]]-Tabla1[[#This Row],[REQUISICIONES FEBRERO 2021]]</f>
        <v>4</v>
      </c>
      <c r="V732" s="63">
        <f>+Tabla1[[#This Row],[STOCK  FEBRERO 2021]]-Tabla1[[#This Row],[REQUISICIONES MARZO 2021]]+Tabla1[[#This Row],[ENTRADAS MARZO 2021]]</f>
        <v>4</v>
      </c>
      <c r="W732" s="63">
        <f>+Tabla1[[#This Row],[STOCK MARZO 2021]]-Tabla1[[#This Row],[REQUISICIONES ABRIL 2021]]+Tabla1[[#This Row],[ENTRADAS ABRIL 2021]]</f>
        <v>4</v>
      </c>
      <c r="X732" s="63">
        <f>+Tabla1[[#This Row],[STOCK ABRIL 2021]]-Tabla1[[#This Row],[REQUISICIONES MAYO 2021]]+Tabla1[[#This Row],[ENTRADAS MAYO 2021]]</f>
        <v>4</v>
      </c>
      <c r="Y732" s="63">
        <f>+Tabla1[[#This Row],[STOCK MAYO 2021]]-Tabla1[[#This Row],[REQUISICIONES JUNIO 2021]]+Tabla1[[#This Row],[ENTRADAS JUNIO 2021]]</f>
        <v>4</v>
      </c>
      <c r="Z732" s="30" t="s">
        <v>12</v>
      </c>
      <c r="AA732" s="34">
        <v>73.22</v>
      </c>
      <c r="AB732" s="35">
        <f t="shared" si="31"/>
        <v>86.399599999999992</v>
      </c>
      <c r="AC732" s="93">
        <f>Tabla1[[#This Row],[STOCK JUNIO ]]*Tabla1[[#This Row],[COSTO UNITARIO SIN ITBIS]]</f>
        <v>292.88</v>
      </c>
    </row>
    <row r="733" spans="1:29" s="8" customFormat="1" x14ac:dyDescent="0.25">
      <c r="A733" s="266">
        <v>68</v>
      </c>
      <c r="B733" s="74">
        <v>42991</v>
      </c>
      <c r="C733" s="28" t="s">
        <v>11</v>
      </c>
      <c r="D733" s="74">
        <v>42991</v>
      </c>
      <c r="E733" s="145"/>
      <c r="F733" s="28">
        <v>1517</v>
      </c>
      <c r="G733" s="32" t="s">
        <v>534</v>
      </c>
      <c r="H733" s="63">
        <v>6</v>
      </c>
      <c r="I733" s="63"/>
      <c r="J733" s="63">
        <f>+'INVENTARIO ABRIL-JUNIO 2021'!$H733-'INVENTARIO ABRIL-JUNIO 2021'!$I733</f>
        <v>6</v>
      </c>
      <c r="K733" s="63"/>
      <c r="L733" s="63"/>
      <c r="M733" s="63"/>
      <c r="N733" s="63"/>
      <c r="O733" s="125"/>
      <c r="P733" s="63"/>
      <c r="Q733" s="63"/>
      <c r="R733" s="63"/>
      <c r="S733" s="63"/>
      <c r="T733" s="63"/>
      <c r="U733" s="63">
        <f>+Tabla1[[#This Row],[STOCK    FISICO ENERO 2021]]-Tabla1[[#This Row],[REQUISICIONES FEBRERO 2021]]</f>
        <v>6</v>
      </c>
      <c r="V733" s="63">
        <f>+Tabla1[[#This Row],[STOCK  FEBRERO 2021]]-Tabla1[[#This Row],[REQUISICIONES MARZO 2021]]+Tabla1[[#This Row],[ENTRADAS MARZO 2021]]</f>
        <v>6</v>
      </c>
      <c r="W733" s="63">
        <f>+Tabla1[[#This Row],[STOCK MARZO 2021]]-Tabla1[[#This Row],[REQUISICIONES ABRIL 2021]]+Tabla1[[#This Row],[ENTRADAS ABRIL 2021]]</f>
        <v>6</v>
      </c>
      <c r="X733" s="63">
        <f>+Tabla1[[#This Row],[STOCK ABRIL 2021]]-Tabla1[[#This Row],[REQUISICIONES MAYO 2021]]+Tabla1[[#This Row],[ENTRADAS MAYO 2021]]</f>
        <v>6</v>
      </c>
      <c r="Y733" s="63">
        <f>+Tabla1[[#This Row],[STOCK MAYO 2021]]-Tabla1[[#This Row],[REQUISICIONES JUNIO 2021]]+Tabla1[[#This Row],[ENTRADAS JUNIO 2021]]</f>
        <v>6</v>
      </c>
      <c r="Z733" s="30" t="s">
        <v>105</v>
      </c>
      <c r="AA733" s="34">
        <v>116.95</v>
      </c>
      <c r="AB733" s="35">
        <f t="shared" si="31"/>
        <v>138.001</v>
      </c>
      <c r="AC733" s="93">
        <f>Tabla1[[#This Row],[STOCK JUNIO ]]*Tabla1[[#This Row],[COSTO UNITARIO SIN ITBIS]]</f>
        <v>701.7</v>
      </c>
    </row>
    <row r="734" spans="1:29" s="8" customFormat="1" x14ac:dyDescent="0.25">
      <c r="A734" s="266">
        <v>69</v>
      </c>
      <c r="B734" s="74">
        <v>44026</v>
      </c>
      <c r="C734" s="28" t="s">
        <v>11</v>
      </c>
      <c r="D734" s="74">
        <v>44026</v>
      </c>
      <c r="E734" s="145"/>
      <c r="F734" s="13"/>
      <c r="G734" s="32" t="s">
        <v>535</v>
      </c>
      <c r="H734" s="63">
        <v>16</v>
      </c>
      <c r="I734" s="63"/>
      <c r="J734" s="63">
        <f>+'INVENTARIO ABRIL-JUNIO 2021'!$H734-'INVENTARIO ABRIL-JUNIO 2021'!$I734</f>
        <v>16</v>
      </c>
      <c r="K734" s="63"/>
      <c r="L734" s="63"/>
      <c r="M734" s="63"/>
      <c r="N734" s="63"/>
      <c r="O734" s="125"/>
      <c r="P734" s="63"/>
      <c r="Q734" s="63"/>
      <c r="R734" s="63"/>
      <c r="S734" s="63"/>
      <c r="T734" s="63"/>
      <c r="U734" s="63">
        <f>+Tabla1[[#This Row],[STOCK    FISICO ENERO 2021]]-Tabla1[[#This Row],[REQUISICIONES FEBRERO 2021]]</f>
        <v>16</v>
      </c>
      <c r="V734" s="63">
        <f>+Tabla1[[#This Row],[STOCK  FEBRERO 2021]]-Tabla1[[#This Row],[REQUISICIONES MARZO 2021]]+Tabla1[[#This Row],[ENTRADAS MARZO 2021]]</f>
        <v>16</v>
      </c>
      <c r="W734" s="63">
        <f>+Tabla1[[#This Row],[STOCK MARZO 2021]]-Tabla1[[#This Row],[REQUISICIONES ABRIL 2021]]+Tabla1[[#This Row],[ENTRADAS ABRIL 2021]]</f>
        <v>16</v>
      </c>
      <c r="X734" s="63">
        <f>+Tabla1[[#This Row],[STOCK ABRIL 2021]]-Tabla1[[#This Row],[REQUISICIONES MAYO 2021]]+Tabla1[[#This Row],[ENTRADAS MAYO 2021]]</f>
        <v>16</v>
      </c>
      <c r="Y734" s="63">
        <f>+Tabla1[[#This Row],[STOCK MAYO 2021]]-Tabla1[[#This Row],[REQUISICIONES JUNIO 2021]]+Tabla1[[#This Row],[ENTRADAS JUNIO 2021]]</f>
        <v>16</v>
      </c>
      <c r="Z734" s="30" t="s">
        <v>12</v>
      </c>
      <c r="AA734" s="34">
        <v>0</v>
      </c>
      <c r="AB734" s="35">
        <f t="shared" si="31"/>
        <v>0</v>
      </c>
      <c r="AC734" s="93">
        <f>Tabla1[[#This Row],[STOCK JUNIO ]]*Tabla1[[#This Row],[COSTO UNITARIO SIN ITBIS]]</f>
        <v>0</v>
      </c>
    </row>
    <row r="735" spans="1:29" s="8" customFormat="1" x14ac:dyDescent="0.25">
      <c r="A735" s="266">
        <v>70</v>
      </c>
      <c r="B735" s="31">
        <v>44026</v>
      </c>
      <c r="C735" s="28" t="s">
        <v>11</v>
      </c>
      <c r="D735" s="31">
        <v>44026</v>
      </c>
      <c r="E735" s="137"/>
      <c r="F735" s="13">
        <v>1560</v>
      </c>
      <c r="G735" s="75" t="s">
        <v>536</v>
      </c>
      <c r="H735" s="72">
        <v>1</v>
      </c>
      <c r="I735" s="72"/>
      <c r="J735" s="72">
        <f>+'INVENTARIO ABRIL-JUNIO 2021'!$H735-'INVENTARIO ABRIL-JUNIO 2021'!$I735</f>
        <v>1</v>
      </c>
      <c r="K735" s="72"/>
      <c r="L735" s="72"/>
      <c r="M735" s="72"/>
      <c r="N735" s="72"/>
      <c r="O735" s="296"/>
      <c r="P735" s="72"/>
      <c r="Q735" s="72"/>
      <c r="R735" s="72"/>
      <c r="S735" s="72"/>
      <c r="T735" s="72"/>
      <c r="U735" s="72">
        <f>+Tabla1[[#This Row],[STOCK    FISICO ENERO 2021]]-Tabla1[[#This Row],[REQUISICIONES FEBRERO 2021]]</f>
        <v>1</v>
      </c>
      <c r="V735" s="72">
        <f>+Tabla1[[#This Row],[STOCK  FEBRERO 2021]]-Tabla1[[#This Row],[REQUISICIONES MARZO 2021]]+Tabla1[[#This Row],[ENTRADAS MARZO 2021]]</f>
        <v>1</v>
      </c>
      <c r="W735" s="72">
        <f>+Tabla1[[#This Row],[STOCK MARZO 2021]]-Tabla1[[#This Row],[REQUISICIONES ABRIL 2021]]+Tabla1[[#This Row],[ENTRADAS ABRIL 2021]]</f>
        <v>1</v>
      </c>
      <c r="X735" s="72">
        <f>+Tabla1[[#This Row],[STOCK ABRIL 2021]]-Tabla1[[#This Row],[REQUISICIONES MAYO 2021]]+Tabla1[[#This Row],[ENTRADAS MAYO 2021]]</f>
        <v>1</v>
      </c>
      <c r="Y735" s="72">
        <f>+Tabla1[[#This Row],[STOCK MAYO 2021]]-Tabla1[[#This Row],[REQUISICIONES JUNIO 2021]]+Tabla1[[#This Row],[ENTRADAS JUNIO 2021]]</f>
        <v>1</v>
      </c>
      <c r="Z735" s="73" t="s">
        <v>105</v>
      </c>
      <c r="AA735" s="34">
        <v>3753</v>
      </c>
      <c r="AB735" s="35">
        <f t="shared" si="31"/>
        <v>4428.54</v>
      </c>
      <c r="AC735" s="93">
        <f>Tabla1[[#This Row],[STOCK JUNIO ]]*Tabla1[[#This Row],[COSTO UNITARIO SIN ITBIS]]</f>
        <v>3753</v>
      </c>
    </row>
    <row r="736" spans="1:29" s="8" customFormat="1" x14ac:dyDescent="0.25">
      <c r="A736" s="266">
        <v>71</v>
      </c>
      <c r="B736" s="31">
        <v>44026</v>
      </c>
      <c r="C736" s="28" t="s">
        <v>11</v>
      </c>
      <c r="D736" s="31">
        <v>44026</v>
      </c>
      <c r="E736" s="137"/>
      <c r="F736" s="13">
        <v>1547</v>
      </c>
      <c r="G736" s="32" t="s">
        <v>537</v>
      </c>
      <c r="H736" s="63">
        <v>15</v>
      </c>
      <c r="I736" s="63"/>
      <c r="J736" s="63">
        <f>+'INVENTARIO ABRIL-JUNIO 2021'!$H736-'INVENTARIO ABRIL-JUNIO 2021'!$I736</f>
        <v>15</v>
      </c>
      <c r="K736" s="63"/>
      <c r="L736" s="63"/>
      <c r="M736" s="63"/>
      <c r="N736" s="63"/>
      <c r="O736" s="125"/>
      <c r="P736" s="63">
        <v>1</v>
      </c>
      <c r="Q736" s="63"/>
      <c r="R736" s="63"/>
      <c r="S736" s="63"/>
      <c r="T736" s="63"/>
      <c r="U736" s="63">
        <f>+Tabla1[[#This Row],[STOCK    FISICO ENERO 2021]]-Tabla1[[#This Row],[REQUISICIONES FEBRERO 2021]]</f>
        <v>14</v>
      </c>
      <c r="V736" s="63">
        <f>+Tabla1[[#This Row],[STOCK  FEBRERO 2021]]-Tabla1[[#This Row],[REQUISICIONES MARZO 2021]]+Tabla1[[#This Row],[ENTRADAS MARZO 2021]]</f>
        <v>14</v>
      </c>
      <c r="W736" s="63">
        <f>+Tabla1[[#This Row],[STOCK MARZO 2021]]-Tabla1[[#This Row],[REQUISICIONES ABRIL 2021]]+Tabla1[[#This Row],[ENTRADAS ABRIL 2021]]</f>
        <v>14</v>
      </c>
      <c r="X736" s="63">
        <f>+Tabla1[[#This Row],[STOCK ABRIL 2021]]-Tabla1[[#This Row],[REQUISICIONES MAYO 2021]]+Tabla1[[#This Row],[ENTRADAS MAYO 2021]]</f>
        <v>14</v>
      </c>
      <c r="Y736" s="63">
        <f>+Tabla1[[#This Row],[STOCK MAYO 2021]]-Tabla1[[#This Row],[REQUISICIONES JUNIO 2021]]+Tabla1[[#This Row],[ENTRADAS JUNIO 2021]]</f>
        <v>14</v>
      </c>
      <c r="Z736" s="30" t="s">
        <v>105</v>
      </c>
      <c r="AA736" s="34">
        <v>101.69</v>
      </c>
      <c r="AB736" s="35">
        <f t="shared" si="31"/>
        <v>119.99419999999999</v>
      </c>
      <c r="AC736" s="93">
        <f>Tabla1[[#This Row],[STOCK JUNIO ]]*Tabla1[[#This Row],[COSTO UNITARIO SIN ITBIS]]</f>
        <v>1423.6599999999999</v>
      </c>
    </row>
    <row r="737" spans="1:29" s="8" customFormat="1" x14ac:dyDescent="0.25">
      <c r="A737" s="266">
        <v>72</v>
      </c>
      <c r="B737" s="31">
        <v>44026</v>
      </c>
      <c r="C737" s="28" t="s">
        <v>11</v>
      </c>
      <c r="D737" s="31">
        <v>44026</v>
      </c>
      <c r="E737" s="137"/>
      <c r="F737" s="28">
        <v>1546</v>
      </c>
      <c r="G737" s="75" t="s">
        <v>538</v>
      </c>
      <c r="H737" s="72">
        <v>0</v>
      </c>
      <c r="I737" s="72"/>
      <c r="J737" s="72">
        <f>+'INVENTARIO ABRIL-JUNIO 2021'!$H737-'INVENTARIO ABRIL-JUNIO 2021'!$I737</f>
        <v>0</v>
      </c>
      <c r="K737" s="72"/>
      <c r="L737" s="72"/>
      <c r="M737" s="72"/>
      <c r="N737" s="72"/>
      <c r="O737" s="296"/>
      <c r="P737" s="72"/>
      <c r="Q737" s="72"/>
      <c r="R737" s="72"/>
      <c r="S737" s="72"/>
      <c r="T737" s="72"/>
      <c r="U737" s="72">
        <f>+Tabla1[[#This Row],[STOCK    FISICO ENERO 2021]]-Tabla1[[#This Row],[REQUISICIONES FEBRERO 2021]]</f>
        <v>0</v>
      </c>
      <c r="V737" s="72">
        <f>+Tabla1[[#This Row],[STOCK  FEBRERO 2021]]-Tabla1[[#This Row],[REQUISICIONES MARZO 2021]]+Tabla1[[#This Row],[ENTRADAS MARZO 2021]]</f>
        <v>0</v>
      </c>
      <c r="W737" s="72">
        <f>+Tabla1[[#This Row],[STOCK MARZO 2021]]-Tabla1[[#This Row],[REQUISICIONES ABRIL 2021]]+Tabla1[[#This Row],[ENTRADAS ABRIL 2021]]</f>
        <v>0</v>
      </c>
      <c r="X737" s="72">
        <f>+Tabla1[[#This Row],[STOCK ABRIL 2021]]-Tabla1[[#This Row],[REQUISICIONES MAYO 2021]]+Tabla1[[#This Row],[ENTRADAS MAYO 2021]]</f>
        <v>0</v>
      </c>
      <c r="Y737" s="72">
        <f>+Tabla1[[#This Row],[STOCK MAYO 2021]]-Tabla1[[#This Row],[REQUISICIONES JUNIO 2021]]+Tabla1[[#This Row],[ENTRADAS JUNIO 2021]]</f>
        <v>0</v>
      </c>
      <c r="Z737" s="73" t="s">
        <v>12</v>
      </c>
      <c r="AA737" s="76">
        <v>71.19</v>
      </c>
      <c r="AB737" s="35">
        <f t="shared" si="31"/>
        <v>84.004199999999997</v>
      </c>
      <c r="AC737" s="93">
        <f>Tabla1[[#This Row],[STOCK JUNIO ]]*Tabla1[[#This Row],[COSTO UNITARIO SIN ITBIS]]</f>
        <v>0</v>
      </c>
    </row>
    <row r="738" spans="1:29" s="8" customFormat="1" x14ac:dyDescent="0.25">
      <c r="A738" s="266">
        <v>73</v>
      </c>
      <c r="B738" s="31">
        <v>44110</v>
      </c>
      <c r="C738" s="28" t="s">
        <v>11</v>
      </c>
      <c r="D738" s="31">
        <v>44110</v>
      </c>
      <c r="E738" s="137"/>
      <c r="F738" s="71"/>
      <c r="G738" s="32" t="s">
        <v>539</v>
      </c>
      <c r="H738" s="63">
        <v>1</v>
      </c>
      <c r="I738" s="63"/>
      <c r="J738" s="63">
        <f>+'INVENTARIO ABRIL-JUNIO 2021'!$H738-'INVENTARIO ABRIL-JUNIO 2021'!$I738</f>
        <v>1</v>
      </c>
      <c r="K738" s="63"/>
      <c r="L738" s="63"/>
      <c r="M738" s="63"/>
      <c r="N738" s="63"/>
      <c r="O738" s="125"/>
      <c r="P738" s="63"/>
      <c r="Q738" s="63"/>
      <c r="R738" s="63"/>
      <c r="S738" s="63"/>
      <c r="T738" s="63"/>
      <c r="U738" s="63">
        <f>+Tabla1[[#This Row],[STOCK    FISICO ENERO 2021]]-Tabla1[[#This Row],[REQUISICIONES FEBRERO 2021]]</f>
        <v>1</v>
      </c>
      <c r="V738" s="63">
        <f>+Tabla1[[#This Row],[STOCK  FEBRERO 2021]]-Tabla1[[#This Row],[REQUISICIONES MARZO 2021]]+Tabla1[[#This Row],[ENTRADAS MARZO 2021]]</f>
        <v>1</v>
      </c>
      <c r="W738" s="63">
        <f>+Tabla1[[#This Row],[STOCK MARZO 2021]]-Tabla1[[#This Row],[REQUISICIONES ABRIL 2021]]+Tabla1[[#This Row],[ENTRADAS ABRIL 2021]]</f>
        <v>1</v>
      </c>
      <c r="X738" s="63">
        <f>+Tabla1[[#This Row],[STOCK ABRIL 2021]]-Tabla1[[#This Row],[REQUISICIONES MAYO 2021]]+Tabla1[[#This Row],[ENTRADAS MAYO 2021]]</f>
        <v>1</v>
      </c>
      <c r="Y738" s="63">
        <f>+Tabla1[[#This Row],[STOCK MAYO 2021]]-Tabla1[[#This Row],[REQUISICIONES JUNIO 2021]]+Tabla1[[#This Row],[ENTRADAS JUNIO 2021]]</f>
        <v>1</v>
      </c>
      <c r="Z738" s="30" t="s">
        <v>12</v>
      </c>
      <c r="AA738" s="34">
        <v>122.03</v>
      </c>
      <c r="AB738" s="35">
        <f t="shared" si="31"/>
        <v>143.99539999999999</v>
      </c>
      <c r="AC738" s="93">
        <f>Tabla1[[#This Row],[STOCK JUNIO ]]*Tabla1[[#This Row],[COSTO UNITARIO SIN ITBIS]]</f>
        <v>122.03</v>
      </c>
    </row>
    <row r="739" spans="1:29" s="8" customFormat="1" x14ac:dyDescent="0.25">
      <c r="A739" s="266">
        <v>74</v>
      </c>
      <c r="B739" s="31">
        <v>44026</v>
      </c>
      <c r="C739" s="28" t="s">
        <v>11</v>
      </c>
      <c r="D739" s="31">
        <v>44026</v>
      </c>
      <c r="E739" s="137"/>
      <c r="F739" s="13"/>
      <c r="G739" s="71" t="s">
        <v>540</v>
      </c>
      <c r="H739" s="71">
        <v>2</v>
      </c>
      <c r="I739" s="71"/>
      <c r="J739" s="71">
        <f>+'INVENTARIO ABRIL-JUNIO 2021'!$H739-'INVENTARIO ABRIL-JUNIO 2021'!$I739</f>
        <v>2</v>
      </c>
      <c r="K739" s="71"/>
      <c r="L739" s="71"/>
      <c r="M739" s="71"/>
      <c r="N739" s="71"/>
      <c r="O739" s="297"/>
      <c r="P739" s="71"/>
      <c r="Q739" s="71"/>
      <c r="R739" s="71"/>
      <c r="S739" s="71"/>
      <c r="T739" s="71"/>
      <c r="U739" s="71">
        <f>+Tabla1[[#This Row],[STOCK    FISICO ENERO 2021]]-Tabla1[[#This Row],[REQUISICIONES FEBRERO 2021]]</f>
        <v>2</v>
      </c>
      <c r="V739" s="71">
        <f>+Tabla1[[#This Row],[STOCK  FEBRERO 2021]]-Tabla1[[#This Row],[REQUISICIONES MARZO 2021]]+Tabla1[[#This Row],[ENTRADAS MARZO 2021]]</f>
        <v>2</v>
      </c>
      <c r="W739" s="71">
        <f>+Tabla1[[#This Row],[STOCK MARZO 2021]]-Tabla1[[#This Row],[REQUISICIONES ABRIL 2021]]+Tabla1[[#This Row],[ENTRADAS ABRIL 2021]]</f>
        <v>2</v>
      </c>
      <c r="X739" s="71">
        <f>+Tabla1[[#This Row],[STOCK ABRIL 2021]]-Tabla1[[#This Row],[REQUISICIONES MAYO 2021]]+Tabla1[[#This Row],[ENTRADAS MAYO 2021]]</f>
        <v>2</v>
      </c>
      <c r="Y739" s="71">
        <f>+Tabla1[[#This Row],[STOCK MAYO 2021]]-Tabla1[[#This Row],[REQUISICIONES JUNIO 2021]]+Tabla1[[#This Row],[ENTRADAS JUNIO 2021]]</f>
        <v>2</v>
      </c>
      <c r="Z739" s="30" t="s">
        <v>12</v>
      </c>
      <c r="AA739" s="34">
        <v>35</v>
      </c>
      <c r="AB739" s="35">
        <f t="shared" si="31"/>
        <v>41.3</v>
      </c>
      <c r="AC739" s="93">
        <f>Tabla1[[#This Row],[STOCK JUNIO ]]*Tabla1[[#This Row],[COSTO UNITARIO SIN ITBIS]]</f>
        <v>70</v>
      </c>
    </row>
    <row r="740" spans="1:29" s="8" customFormat="1" x14ac:dyDescent="0.25">
      <c r="A740" s="266">
        <v>75</v>
      </c>
      <c r="B740" s="31"/>
      <c r="C740" s="28" t="s">
        <v>11</v>
      </c>
      <c r="D740" s="31"/>
      <c r="E740" s="137"/>
      <c r="F740" s="13"/>
      <c r="G740" s="32" t="s">
        <v>676</v>
      </c>
      <c r="H740" s="63">
        <v>2</v>
      </c>
      <c r="I740" s="63"/>
      <c r="J740" s="63">
        <f>+'INVENTARIO ABRIL-JUNIO 2021'!$H740-'INVENTARIO ABRIL-JUNIO 2021'!$I740</f>
        <v>2</v>
      </c>
      <c r="K740" s="63"/>
      <c r="L740" s="63"/>
      <c r="M740" s="63"/>
      <c r="N740" s="63"/>
      <c r="O740" s="125"/>
      <c r="P740" s="63"/>
      <c r="Q740" s="63"/>
      <c r="R740" s="63"/>
      <c r="S740" s="63"/>
      <c r="T740" s="63">
        <v>1</v>
      </c>
      <c r="U740" s="63">
        <f>+Tabla1[[#This Row],[STOCK    FISICO ENERO 2021]]-Tabla1[[#This Row],[REQUISICIONES FEBRERO 2021]]</f>
        <v>2</v>
      </c>
      <c r="V740" s="63">
        <f>+Tabla1[[#This Row],[STOCK  FEBRERO 2021]]-Tabla1[[#This Row],[REQUISICIONES MARZO 2021]]+Tabla1[[#This Row],[ENTRADAS MARZO 2021]]</f>
        <v>2</v>
      </c>
      <c r="W740" s="63">
        <f>+Tabla1[[#This Row],[STOCK MARZO 2021]]-Tabla1[[#This Row],[REQUISICIONES ABRIL 2021]]+Tabla1[[#This Row],[ENTRADAS ABRIL 2021]]</f>
        <v>2</v>
      </c>
      <c r="X740" s="63">
        <f>+Tabla1[[#This Row],[STOCK ABRIL 2021]]-Tabla1[[#This Row],[REQUISICIONES MAYO 2021]]+Tabla1[[#This Row],[ENTRADAS MAYO 2021]]</f>
        <v>2</v>
      </c>
      <c r="Y740" s="63">
        <f>+Tabla1[[#This Row],[STOCK MAYO 2021]]-Tabla1[[#This Row],[REQUISICIONES JUNIO 2021]]+Tabla1[[#This Row],[ENTRADAS JUNIO 2021]]</f>
        <v>1</v>
      </c>
      <c r="Z740" s="30" t="s">
        <v>12</v>
      </c>
      <c r="AA740" s="34">
        <v>0</v>
      </c>
      <c r="AB740" s="35">
        <f t="shared" si="31"/>
        <v>0</v>
      </c>
      <c r="AC740" s="93">
        <f>Tabla1[[#This Row],[STOCK JUNIO ]]*Tabla1[[#This Row],[COSTO UNITARIO SIN ITBIS]]</f>
        <v>0</v>
      </c>
    </row>
    <row r="741" spans="1:29" s="8" customFormat="1" x14ac:dyDescent="0.25">
      <c r="A741" s="266">
        <v>76</v>
      </c>
      <c r="B741" s="74">
        <v>44026</v>
      </c>
      <c r="C741" s="28" t="s">
        <v>11</v>
      </c>
      <c r="D741" s="74">
        <v>44026</v>
      </c>
      <c r="E741" s="145"/>
      <c r="F741" s="13" t="s">
        <v>20</v>
      </c>
      <c r="G741" s="75" t="s">
        <v>671</v>
      </c>
      <c r="H741" s="72">
        <v>8</v>
      </c>
      <c r="I741" s="72"/>
      <c r="J741" s="72">
        <f>+'INVENTARIO ABRIL-JUNIO 2021'!$H741-'INVENTARIO ABRIL-JUNIO 2021'!$I741</f>
        <v>8</v>
      </c>
      <c r="K741" s="72"/>
      <c r="L741" s="72"/>
      <c r="M741" s="72"/>
      <c r="N741" s="72"/>
      <c r="O741" s="296"/>
      <c r="P741" s="72"/>
      <c r="Q741" s="72">
        <v>2</v>
      </c>
      <c r="R741" s="72"/>
      <c r="S741" s="72"/>
      <c r="T741" s="72"/>
      <c r="U741" s="72">
        <f>+Tabla1[[#This Row],[STOCK    FISICO ENERO 2021]]-Tabla1[[#This Row],[REQUISICIONES FEBRERO 2021]]</f>
        <v>8</v>
      </c>
      <c r="V741" s="72">
        <f>+Tabla1[[#This Row],[STOCK  FEBRERO 2021]]-Tabla1[[#This Row],[REQUISICIONES MARZO 2021]]+Tabla1[[#This Row],[ENTRADAS MARZO 2021]]</f>
        <v>6</v>
      </c>
      <c r="W741" s="72">
        <f>+Tabla1[[#This Row],[STOCK MARZO 2021]]-Tabla1[[#This Row],[REQUISICIONES ABRIL 2021]]+Tabla1[[#This Row],[ENTRADAS ABRIL 2021]]</f>
        <v>6</v>
      </c>
      <c r="X741" s="72">
        <f>+Tabla1[[#This Row],[STOCK ABRIL 2021]]-Tabla1[[#This Row],[REQUISICIONES MAYO 2021]]+Tabla1[[#This Row],[ENTRADAS MAYO 2021]]</f>
        <v>6</v>
      </c>
      <c r="Y741" s="72">
        <f>+Tabla1[[#This Row],[STOCK MAYO 2021]]-Tabla1[[#This Row],[REQUISICIONES JUNIO 2021]]+Tabla1[[#This Row],[ENTRADAS JUNIO 2021]]</f>
        <v>6</v>
      </c>
      <c r="Z741" s="73" t="s">
        <v>105</v>
      </c>
      <c r="AA741" s="76">
        <v>50</v>
      </c>
      <c r="AB741" s="35">
        <f t="shared" ref="AB741:AB767" si="32">AA741*0.18+AA741</f>
        <v>59</v>
      </c>
      <c r="AC741" s="93">
        <f>Tabla1[[#This Row],[STOCK JUNIO ]]*Tabla1[[#This Row],[COSTO UNITARIO SIN ITBIS]]</f>
        <v>300</v>
      </c>
    </row>
    <row r="742" spans="1:29" s="8" customFormat="1" x14ac:dyDescent="0.25">
      <c r="A742" s="266">
        <v>77</v>
      </c>
      <c r="B742" s="31">
        <v>44169</v>
      </c>
      <c r="C742" s="28" t="s">
        <v>11</v>
      </c>
      <c r="D742" s="80">
        <v>44147</v>
      </c>
      <c r="E742" s="146"/>
      <c r="F742" s="13">
        <v>1283</v>
      </c>
      <c r="G742" s="75" t="s">
        <v>672</v>
      </c>
      <c r="H742" s="72">
        <v>1</v>
      </c>
      <c r="I742" s="72"/>
      <c r="J742" s="72">
        <f>+'INVENTARIO ABRIL-JUNIO 2021'!$H742-'INVENTARIO ABRIL-JUNIO 2021'!$I742</f>
        <v>1</v>
      </c>
      <c r="K742" s="72"/>
      <c r="L742" s="72"/>
      <c r="M742" s="72"/>
      <c r="N742" s="72"/>
      <c r="O742" s="296"/>
      <c r="P742" s="72"/>
      <c r="Q742" s="72"/>
      <c r="R742" s="72"/>
      <c r="S742" s="72"/>
      <c r="T742" s="72"/>
      <c r="U742" s="72">
        <f>+Tabla1[[#This Row],[STOCK    FISICO ENERO 2021]]-Tabla1[[#This Row],[REQUISICIONES FEBRERO 2021]]</f>
        <v>1</v>
      </c>
      <c r="V742" s="72">
        <f>+Tabla1[[#This Row],[STOCK  FEBRERO 2021]]-Tabla1[[#This Row],[REQUISICIONES MARZO 2021]]+Tabla1[[#This Row],[ENTRADAS MARZO 2021]]</f>
        <v>1</v>
      </c>
      <c r="W742" s="72">
        <f>+Tabla1[[#This Row],[STOCK MARZO 2021]]-Tabla1[[#This Row],[REQUISICIONES ABRIL 2021]]+Tabla1[[#This Row],[ENTRADAS ABRIL 2021]]</f>
        <v>1</v>
      </c>
      <c r="X742" s="72">
        <f>+Tabla1[[#This Row],[STOCK ABRIL 2021]]-Tabla1[[#This Row],[REQUISICIONES MAYO 2021]]+Tabla1[[#This Row],[ENTRADAS MAYO 2021]]</f>
        <v>1</v>
      </c>
      <c r="Y742" s="72">
        <f>+Tabla1[[#This Row],[STOCK MAYO 2021]]-Tabla1[[#This Row],[REQUISICIONES JUNIO 2021]]+Tabla1[[#This Row],[ENTRADAS JUNIO 2021]]</f>
        <v>1</v>
      </c>
      <c r="Z742" s="30" t="s">
        <v>12</v>
      </c>
      <c r="AA742" s="76">
        <v>0</v>
      </c>
      <c r="AB742" s="35">
        <f t="shared" si="32"/>
        <v>0</v>
      </c>
      <c r="AC742" s="93">
        <f>Tabla1[[#This Row],[STOCK JUNIO ]]*Tabla1[[#This Row],[COSTO UNITARIO SIN ITBIS]]</f>
        <v>0</v>
      </c>
    </row>
    <row r="743" spans="1:29" s="8" customFormat="1" x14ac:dyDescent="0.25">
      <c r="A743" s="266">
        <v>78</v>
      </c>
      <c r="B743" s="71"/>
      <c r="C743" s="28" t="s">
        <v>11</v>
      </c>
      <c r="D743" s="71"/>
      <c r="E743" s="147"/>
      <c r="F743" s="13">
        <v>1727</v>
      </c>
      <c r="G743" s="75" t="s">
        <v>541</v>
      </c>
      <c r="H743" s="72">
        <v>2</v>
      </c>
      <c r="I743" s="72"/>
      <c r="J743" s="72">
        <f>+'INVENTARIO ABRIL-JUNIO 2021'!$H743-'INVENTARIO ABRIL-JUNIO 2021'!$I743</f>
        <v>2</v>
      </c>
      <c r="K743" s="72"/>
      <c r="L743" s="72"/>
      <c r="M743" s="72"/>
      <c r="N743" s="72"/>
      <c r="O743" s="296"/>
      <c r="P743" s="72"/>
      <c r="Q743" s="72"/>
      <c r="R743" s="72"/>
      <c r="S743" s="72"/>
      <c r="T743" s="72"/>
      <c r="U743" s="72">
        <f>+Tabla1[[#This Row],[STOCK    FISICO ENERO 2021]]-Tabla1[[#This Row],[REQUISICIONES FEBRERO 2021]]</f>
        <v>2</v>
      </c>
      <c r="V743" s="72">
        <f>+Tabla1[[#This Row],[STOCK  FEBRERO 2021]]-Tabla1[[#This Row],[REQUISICIONES MARZO 2021]]+Tabla1[[#This Row],[ENTRADAS MARZO 2021]]</f>
        <v>2</v>
      </c>
      <c r="W743" s="72">
        <f>+Tabla1[[#This Row],[STOCK MARZO 2021]]-Tabla1[[#This Row],[REQUISICIONES ABRIL 2021]]+Tabla1[[#This Row],[ENTRADAS ABRIL 2021]]</f>
        <v>2</v>
      </c>
      <c r="X743" s="72">
        <f>+Tabla1[[#This Row],[STOCK ABRIL 2021]]-Tabla1[[#This Row],[REQUISICIONES MAYO 2021]]+Tabla1[[#This Row],[ENTRADAS MAYO 2021]]</f>
        <v>2</v>
      </c>
      <c r="Y743" s="72">
        <f>+Tabla1[[#This Row],[STOCK MAYO 2021]]-Tabla1[[#This Row],[REQUISICIONES JUNIO 2021]]+Tabla1[[#This Row],[ENTRADAS JUNIO 2021]]</f>
        <v>2</v>
      </c>
      <c r="Z743" s="73" t="s">
        <v>12</v>
      </c>
      <c r="AA743" s="76">
        <v>375</v>
      </c>
      <c r="AB743" s="35">
        <f t="shared" si="32"/>
        <v>442.5</v>
      </c>
      <c r="AC743" s="93">
        <f>Tabla1[[#This Row],[STOCK JUNIO ]]*Tabla1[[#This Row],[COSTO UNITARIO SIN ITBIS]]</f>
        <v>750</v>
      </c>
    </row>
    <row r="744" spans="1:29" s="8" customFormat="1" x14ac:dyDescent="0.25">
      <c r="A744" s="266">
        <v>79</v>
      </c>
      <c r="B744" s="71"/>
      <c r="C744" s="28" t="s">
        <v>11</v>
      </c>
      <c r="D744" s="71"/>
      <c r="E744" s="147"/>
      <c r="F744" s="28">
        <v>1726</v>
      </c>
      <c r="G744" s="75" t="s">
        <v>542</v>
      </c>
      <c r="H744" s="72">
        <v>70</v>
      </c>
      <c r="I744" s="72"/>
      <c r="J744" s="72">
        <f>+'INVENTARIO ABRIL-JUNIO 2021'!$H744-'INVENTARIO ABRIL-JUNIO 2021'!$I744</f>
        <v>70</v>
      </c>
      <c r="K744" s="72"/>
      <c r="L744" s="72"/>
      <c r="M744" s="72"/>
      <c r="N744" s="72"/>
      <c r="O744" s="296"/>
      <c r="P744" s="72"/>
      <c r="Q744" s="72"/>
      <c r="R744" s="72"/>
      <c r="S744" s="72"/>
      <c r="T744" s="72"/>
      <c r="U744" s="72">
        <f>+Tabla1[[#This Row],[STOCK    FISICO ENERO 2021]]-Tabla1[[#This Row],[REQUISICIONES FEBRERO 2021]]</f>
        <v>70</v>
      </c>
      <c r="V744" s="72">
        <f>+Tabla1[[#This Row],[STOCK  FEBRERO 2021]]-Tabla1[[#This Row],[REQUISICIONES MARZO 2021]]+Tabla1[[#This Row],[ENTRADAS MARZO 2021]]</f>
        <v>70</v>
      </c>
      <c r="W744" s="72">
        <f>+Tabla1[[#This Row],[STOCK MARZO 2021]]-Tabla1[[#This Row],[REQUISICIONES ABRIL 2021]]+Tabla1[[#This Row],[ENTRADAS ABRIL 2021]]</f>
        <v>70</v>
      </c>
      <c r="X744" s="72">
        <f>+Tabla1[[#This Row],[STOCK ABRIL 2021]]-Tabla1[[#This Row],[REQUISICIONES MAYO 2021]]+Tabla1[[#This Row],[ENTRADAS MAYO 2021]]</f>
        <v>70</v>
      </c>
      <c r="Y744" s="72">
        <f>+Tabla1[[#This Row],[STOCK MAYO 2021]]-Tabla1[[#This Row],[REQUISICIONES JUNIO 2021]]+Tabla1[[#This Row],[ENTRADAS JUNIO 2021]]</f>
        <v>70</v>
      </c>
      <c r="Z744" s="73" t="s">
        <v>12</v>
      </c>
      <c r="AA744" s="76">
        <v>0.25</v>
      </c>
      <c r="AB744" s="35">
        <f t="shared" si="32"/>
        <v>0.29499999999999998</v>
      </c>
      <c r="AC744" s="93">
        <f>Tabla1[[#This Row],[STOCK JUNIO ]]*Tabla1[[#This Row],[COSTO UNITARIO SIN ITBIS]]</f>
        <v>17.5</v>
      </c>
    </row>
    <row r="745" spans="1:29" s="8" customFormat="1" x14ac:dyDescent="0.25">
      <c r="A745" s="266">
        <v>80</v>
      </c>
      <c r="B745" s="71"/>
      <c r="C745" s="28" t="s">
        <v>11</v>
      </c>
      <c r="D745" s="71"/>
      <c r="E745" s="147"/>
      <c r="F745" s="13">
        <v>1441</v>
      </c>
      <c r="G745" s="32" t="s">
        <v>543</v>
      </c>
      <c r="H745" s="63">
        <v>70</v>
      </c>
      <c r="I745" s="63"/>
      <c r="J745" s="63">
        <f>+'INVENTARIO ABRIL-JUNIO 2021'!$H745-'INVENTARIO ABRIL-JUNIO 2021'!$I745</f>
        <v>70</v>
      </c>
      <c r="K745" s="63"/>
      <c r="L745" s="63"/>
      <c r="M745" s="63"/>
      <c r="N745" s="63"/>
      <c r="O745" s="125"/>
      <c r="P745" s="63"/>
      <c r="Q745" s="63"/>
      <c r="R745" s="63"/>
      <c r="S745" s="63"/>
      <c r="T745" s="63"/>
      <c r="U745" s="63">
        <f>+Tabla1[[#This Row],[STOCK    FISICO ENERO 2021]]-Tabla1[[#This Row],[REQUISICIONES FEBRERO 2021]]</f>
        <v>70</v>
      </c>
      <c r="V745" s="63">
        <f>+Tabla1[[#This Row],[STOCK  FEBRERO 2021]]-Tabla1[[#This Row],[REQUISICIONES MARZO 2021]]+Tabla1[[#This Row],[ENTRADAS MARZO 2021]]</f>
        <v>70</v>
      </c>
      <c r="W745" s="63">
        <f>+Tabla1[[#This Row],[STOCK MARZO 2021]]-Tabla1[[#This Row],[REQUISICIONES ABRIL 2021]]+Tabla1[[#This Row],[ENTRADAS ABRIL 2021]]</f>
        <v>70</v>
      </c>
      <c r="X745" s="63">
        <f>+Tabla1[[#This Row],[STOCK ABRIL 2021]]-Tabla1[[#This Row],[REQUISICIONES MAYO 2021]]+Tabla1[[#This Row],[ENTRADAS MAYO 2021]]</f>
        <v>70</v>
      </c>
      <c r="Y745" s="63">
        <f>+Tabla1[[#This Row],[STOCK MAYO 2021]]-Tabla1[[#This Row],[REQUISICIONES JUNIO 2021]]+Tabla1[[#This Row],[ENTRADAS JUNIO 2021]]</f>
        <v>70</v>
      </c>
      <c r="Z745" s="30" t="s">
        <v>12</v>
      </c>
      <c r="AA745" s="34">
        <v>0.35</v>
      </c>
      <c r="AB745" s="35">
        <f t="shared" si="32"/>
        <v>0.41299999999999998</v>
      </c>
      <c r="AC745" s="93">
        <f>Tabla1[[#This Row],[STOCK JUNIO ]]*Tabla1[[#This Row],[COSTO UNITARIO SIN ITBIS]]</f>
        <v>24.5</v>
      </c>
    </row>
    <row r="746" spans="1:29" s="8" customFormat="1" x14ac:dyDescent="0.25">
      <c r="A746" s="266">
        <v>81</v>
      </c>
      <c r="B746" s="71"/>
      <c r="C746" s="28" t="s">
        <v>11</v>
      </c>
      <c r="D746" s="71"/>
      <c r="E746" s="147"/>
      <c r="F746" s="28" t="s">
        <v>20</v>
      </c>
      <c r="G746" s="75" t="s">
        <v>544</v>
      </c>
      <c r="H746" s="72">
        <v>7</v>
      </c>
      <c r="I746" s="72"/>
      <c r="J746" s="72">
        <f>+'INVENTARIO ABRIL-JUNIO 2021'!$H746-'INVENTARIO ABRIL-JUNIO 2021'!$I746</f>
        <v>7</v>
      </c>
      <c r="K746" s="72"/>
      <c r="L746" s="72"/>
      <c r="M746" s="72"/>
      <c r="N746" s="72"/>
      <c r="O746" s="296"/>
      <c r="P746" s="72"/>
      <c r="Q746" s="72"/>
      <c r="R746" s="72">
        <f>1+4+1</f>
        <v>6</v>
      </c>
      <c r="S746" s="72"/>
      <c r="T746" s="72">
        <v>1</v>
      </c>
      <c r="U746" s="72">
        <f>+Tabla1[[#This Row],[STOCK    FISICO ENERO 2021]]-Tabla1[[#This Row],[REQUISICIONES FEBRERO 2021]]</f>
        <v>7</v>
      </c>
      <c r="V746" s="72">
        <f>+Tabla1[[#This Row],[STOCK  FEBRERO 2021]]-Tabla1[[#This Row],[REQUISICIONES MARZO 2021]]+Tabla1[[#This Row],[ENTRADAS MARZO 2021]]</f>
        <v>7</v>
      </c>
      <c r="W746" s="72">
        <f>+Tabla1[[#This Row],[STOCK MARZO 2021]]-Tabla1[[#This Row],[REQUISICIONES ABRIL 2021]]+Tabla1[[#This Row],[ENTRADAS ABRIL 2021]]</f>
        <v>1</v>
      </c>
      <c r="X746" s="72">
        <f>+Tabla1[[#This Row],[STOCK ABRIL 2021]]-Tabla1[[#This Row],[REQUISICIONES MAYO 2021]]+Tabla1[[#This Row],[ENTRADAS MAYO 2021]]</f>
        <v>1</v>
      </c>
      <c r="Y746" s="72">
        <f>+Tabla1[[#This Row],[STOCK MAYO 2021]]-Tabla1[[#This Row],[REQUISICIONES JUNIO 2021]]+Tabla1[[#This Row],[ENTRADAS JUNIO 2021]]</f>
        <v>0</v>
      </c>
      <c r="Z746" s="73" t="s">
        <v>12</v>
      </c>
      <c r="AA746" s="76">
        <v>12.5</v>
      </c>
      <c r="AB746" s="35">
        <f t="shared" si="32"/>
        <v>14.75</v>
      </c>
      <c r="AC746" s="93">
        <f>Tabla1[[#This Row],[STOCK JUNIO ]]*Tabla1[[#This Row],[COSTO UNITARIO SIN ITBIS]]</f>
        <v>0</v>
      </c>
    </row>
    <row r="747" spans="1:29" s="14" customFormat="1" x14ac:dyDescent="0.25">
      <c r="A747" s="266">
        <v>82</v>
      </c>
      <c r="B747" s="31">
        <v>44027</v>
      </c>
      <c r="C747" s="28" t="s">
        <v>11</v>
      </c>
      <c r="D747" s="31">
        <v>44027</v>
      </c>
      <c r="E747" s="137"/>
      <c r="F747" s="28">
        <v>1772</v>
      </c>
      <c r="G747" s="32" t="s">
        <v>545</v>
      </c>
      <c r="H747" s="63">
        <v>18</v>
      </c>
      <c r="I747" s="63"/>
      <c r="J747" s="63">
        <f>+'INVENTARIO ABRIL-JUNIO 2021'!$H747-'INVENTARIO ABRIL-JUNIO 2021'!$I747</f>
        <v>18</v>
      </c>
      <c r="K747" s="63"/>
      <c r="L747" s="63"/>
      <c r="M747" s="63"/>
      <c r="N747" s="63"/>
      <c r="O747" s="125"/>
      <c r="P747" s="63"/>
      <c r="Q747" s="63"/>
      <c r="R747" s="63"/>
      <c r="S747" s="63"/>
      <c r="T747" s="63"/>
      <c r="U747" s="63">
        <f>+Tabla1[[#This Row],[STOCK    FISICO ENERO 2021]]-Tabla1[[#This Row],[REQUISICIONES FEBRERO 2021]]</f>
        <v>18</v>
      </c>
      <c r="V747" s="63">
        <f>+Tabla1[[#This Row],[STOCK  FEBRERO 2021]]-Tabla1[[#This Row],[REQUISICIONES MARZO 2021]]+Tabla1[[#This Row],[ENTRADAS MARZO 2021]]</f>
        <v>18</v>
      </c>
      <c r="W747" s="63">
        <f>+Tabla1[[#This Row],[STOCK MARZO 2021]]-Tabla1[[#This Row],[REQUISICIONES ABRIL 2021]]+Tabla1[[#This Row],[ENTRADAS ABRIL 2021]]</f>
        <v>18</v>
      </c>
      <c r="X747" s="63">
        <f>+Tabla1[[#This Row],[STOCK ABRIL 2021]]-Tabla1[[#This Row],[REQUISICIONES MAYO 2021]]+Tabla1[[#This Row],[ENTRADAS MAYO 2021]]</f>
        <v>18</v>
      </c>
      <c r="Y747" s="63">
        <f>+Tabla1[[#This Row],[STOCK MAYO 2021]]-Tabla1[[#This Row],[REQUISICIONES JUNIO 2021]]+Tabla1[[#This Row],[ENTRADAS JUNIO 2021]]</f>
        <v>18</v>
      </c>
      <c r="Z747" s="73" t="s">
        <v>12</v>
      </c>
      <c r="AA747" s="34">
        <v>0</v>
      </c>
      <c r="AB747" s="35">
        <f t="shared" si="32"/>
        <v>0</v>
      </c>
      <c r="AC747" s="93">
        <f>Tabla1[[#This Row],[STOCK JUNIO ]]*Tabla1[[#This Row],[COSTO UNITARIO SIN ITBIS]]</f>
        <v>0</v>
      </c>
    </row>
    <row r="748" spans="1:29" s="14" customFormat="1" x14ac:dyDescent="0.25">
      <c r="A748" s="266">
        <v>83</v>
      </c>
      <c r="B748" s="74">
        <v>44027</v>
      </c>
      <c r="C748" s="28" t="s">
        <v>11</v>
      </c>
      <c r="D748" s="74">
        <v>44027</v>
      </c>
      <c r="E748" s="145"/>
      <c r="F748" s="28">
        <v>1825</v>
      </c>
      <c r="G748" s="75" t="s">
        <v>673</v>
      </c>
      <c r="H748" s="72">
        <v>1</v>
      </c>
      <c r="I748" s="72"/>
      <c r="J748" s="72">
        <f>+'INVENTARIO ABRIL-JUNIO 2021'!$H748-'INVENTARIO ABRIL-JUNIO 2021'!$I748</f>
        <v>1</v>
      </c>
      <c r="K748" s="72"/>
      <c r="L748" s="72"/>
      <c r="M748" s="72"/>
      <c r="N748" s="72"/>
      <c r="O748" s="296"/>
      <c r="P748" s="72"/>
      <c r="Q748" s="72"/>
      <c r="R748" s="72">
        <v>1</v>
      </c>
      <c r="S748" s="72"/>
      <c r="T748" s="72"/>
      <c r="U748" s="72">
        <f>+Tabla1[[#This Row],[STOCK    FISICO ENERO 2021]]-Tabla1[[#This Row],[REQUISICIONES FEBRERO 2021]]</f>
        <v>1</v>
      </c>
      <c r="V748" s="72">
        <f>+Tabla1[[#This Row],[STOCK  FEBRERO 2021]]-Tabla1[[#This Row],[REQUISICIONES MARZO 2021]]+Tabla1[[#This Row],[ENTRADAS MARZO 2021]]</f>
        <v>1</v>
      </c>
      <c r="W748" s="72">
        <f>+Tabla1[[#This Row],[STOCK MARZO 2021]]-Tabla1[[#This Row],[REQUISICIONES ABRIL 2021]]+Tabla1[[#This Row],[ENTRADAS ABRIL 2021]]</f>
        <v>0</v>
      </c>
      <c r="X748" s="72">
        <f>+Tabla1[[#This Row],[STOCK ABRIL 2021]]-Tabla1[[#This Row],[REQUISICIONES MAYO 2021]]+Tabla1[[#This Row],[ENTRADAS MAYO 2021]]</f>
        <v>0</v>
      </c>
      <c r="Y748" s="72">
        <f>+Tabla1[[#This Row],[STOCK MAYO 2021]]-Tabla1[[#This Row],[REQUISICIONES JUNIO 2021]]+Tabla1[[#This Row],[ENTRADAS JUNIO 2021]]</f>
        <v>0</v>
      </c>
      <c r="Z748" s="30" t="s">
        <v>105</v>
      </c>
      <c r="AA748" s="76">
        <v>0</v>
      </c>
      <c r="AB748" s="35">
        <f t="shared" si="32"/>
        <v>0</v>
      </c>
      <c r="AC748" s="93">
        <f>Tabla1[[#This Row],[STOCK JUNIO ]]*Tabla1[[#This Row],[COSTO UNITARIO SIN ITBIS]]</f>
        <v>0</v>
      </c>
    </row>
    <row r="749" spans="1:29" s="14" customFormat="1" x14ac:dyDescent="0.25">
      <c r="A749" s="266">
        <v>84</v>
      </c>
      <c r="B749" s="74"/>
      <c r="C749" s="28" t="s">
        <v>11</v>
      </c>
      <c r="D749" s="74"/>
      <c r="E749" s="145"/>
      <c r="F749" s="13"/>
      <c r="G749" s="32" t="s">
        <v>546</v>
      </c>
      <c r="H749" s="63">
        <v>4</v>
      </c>
      <c r="I749" s="63">
        <v>1</v>
      </c>
      <c r="J749" s="63">
        <f>+'INVENTARIO ABRIL-JUNIO 2021'!$H749-'INVENTARIO ABRIL-JUNIO 2021'!$I749</f>
        <v>3</v>
      </c>
      <c r="K749" s="63"/>
      <c r="L749" s="63"/>
      <c r="M749" s="63"/>
      <c r="N749" s="63"/>
      <c r="O749" s="125"/>
      <c r="P749" s="63">
        <v>1</v>
      </c>
      <c r="Q749" s="63">
        <f>1+1</f>
        <v>2</v>
      </c>
      <c r="R749" s="63"/>
      <c r="S749" s="63"/>
      <c r="T749" s="63"/>
      <c r="U749" s="63">
        <f>+Tabla1[[#This Row],[STOCK    FISICO ENERO 2021]]-Tabla1[[#This Row],[REQUISICIONES FEBRERO 2021]]</f>
        <v>2</v>
      </c>
      <c r="V749" s="63">
        <f>+Tabla1[[#This Row],[STOCK  FEBRERO 2021]]-Tabla1[[#This Row],[REQUISICIONES MARZO 2021]]+Tabla1[[#This Row],[ENTRADAS MARZO 2021]]</f>
        <v>0</v>
      </c>
      <c r="W749" s="63">
        <f>+Tabla1[[#This Row],[STOCK MARZO 2021]]-Tabla1[[#This Row],[REQUISICIONES ABRIL 2021]]+Tabla1[[#This Row],[ENTRADAS ABRIL 2021]]</f>
        <v>0</v>
      </c>
      <c r="X749" s="63">
        <f>+Tabla1[[#This Row],[STOCK ABRIL 2021]]-Tabla1[[#This Row],[REQUISICIONES MAYO 2021]]+Tabla1[[#This Row],[ENTRADAS MAYO 2021]]</f>
        <v>0</v>
      </c>
      <c r="Y749" s="63">
        <f>+Tabla1[[#This Row],[STOCK MAYO 2021]]-Tabla1[[#This Row],[REQUISICIONES JUNIO 2021]]+Tabla1[[#This Row],[ENTRADAS JUNIO 2021]]</f>
        <v>0</v>
      </c>
      <c r="Z749" s="30" t="s">
        <v>105</v>
      </c>
      <c r="AA749" s="34">
        <v>35.42</v>
      </c>
      <c r="AB749" s="35">
        <f t="shared" si="32"/>
        <v>41.7956</v>
      </c>
      <c r="AC749" s="93">
        <f>Tabla1[[#This Row],[STOCK JUNIO ]]*Tabla1[[#This Row],[COSTO UNITARIO SIN ITBIS]]</f>
        <v>0</v>
      </c>
    </row>
    <row r="750" spans="1:29" s="14" customFormat="1" x14ac:dyDescent="0.25">
      <c r="A750" s="266">
        <v>85</v>
      </c>
      <c r="B750" s="31">
        <v>44027</v>
      </c>
      <c r="C750" s="28" t="s">
        <v>11</v>
      </c>
      <c r="D750" s="31">
        <v>44027</v>
      </c>
      <c r="E750" s="137"/>
      <c r="F750" s="13"/>
      <c r="G750" s="75" t="s">
        <v>547</v>
      </c>
      <c r="H750" s="72">
        <v>202</v>
      </c>
      <c r="I750" s="72"/>
      <c r="J750" s="72">
        <f>+'INVENTARIO ABRIL-JUNIO 2021'!$H750-'INVENTARIO ABRIL-JUNIO 2021'!$I750</f>
        <v>202</v>
      </c>
      <c r="K750" s="72"/>
      <c r="L750" s="72"/>
      <c r="M750" s="72"/>
      <c r="N750" s="72"/>
      <c r="O750" s="296"/>
      <c r="P750" s="72">
        <f>2+4</f>
        <v>6</v>
      </c>
      <c r="Q750" s="72"/>
      <c r="R750" s="72">
        <v>15</v>
      </c>
      <c r="S750" s="72"/>
      <c r="T750" s="72">
        <v>10</v>
      </c>
      <c r="U750" s="72">
        <f>+Tabla1[[#This Row],[STOCK    FISICO ENERO 2021]]-Tabla1[[#This Row],[REQUISICIONES FEBRERO 2021]]</f>
        <v>196</v>
      </c>
      <c r="V750" s="72">
        <f>+Tabla1[[#This Row],[STOCK  FEBRERO 2021]]-Tabla1[[#This Row],[REQUISICIONES MARZO 2021]]+Tabla1[[#This Row],[ENTRADAS MARZO 2021]]</f>
        <v>196</v>
      </c>
      <c r="W750" s="72">
        <f>+Tabla1[[#This Row],[STOCK MARZO 2021]]-Tabla1[[#This Row],[REQUISICIONES ABRIL 2021]]+Tabla1[[#This Row],[ENTRADAS ABRIL 2021]]</f>
        <v>181</v>
      </c>
      <c r="X750" s="72">
        <f>+Tabla1[[#This Row],[STOCK ABRIL 2021]]-Tabla1[[#This Row],[REQUISICIONES MAYO 2021]]+Tabla1[[#This Row],[ENTRADAS MAYO 2021]]</f>
        <v>181</v>
      </c>
      <c r="Y750" s="72">
        <f>+Tabla1[[#This Row],[STOCK MAYO 2021]]-Tabla1[[#This Row],[REQUISICIONES JUNIO 2021]]+Tabla1[[#This Row],[ENTRADAS JUNIO 2021]]</f>
        <v>171</v>
      </c>
      <c r="Z750" s="73" t="s">
        <v>105</v>
      </c>
      <c r="AA750" s="76">
        <v>2</v>
      </c>
      <c r="AB750" s="35">
        <f t="shared" si="32"/>
        <v>2.36</v>
      </c>
      <c r="AC750" s="93">
        <f>Tabla1[[#This Row],[STOCK JUNIO ]]*Tabla1[[#This Row],[COSTO UNITARIO SIN ITBIS]]</f>
        <v>342</v>
      </c>
    </row>
    <row r="751" spans="1:29" s="14" customFormat="1" x14ac:dyDescent="0.25">
      <c r="A751" s="266">
        <v>86</v>
      </c>
      <c r="B751" s="74">
        <v>43453</v>
      </c>
      <c r="C751" s="28" t="s">
        <v>11</v>
      </c>
      <c r="D751" s="74">
        <v>43453</v>
      </c>
      <c r="E751" s="145"/>
      <c r="F751" s="13"/>
      <c r="G751" s="75" t="s">
        <v>548</v>
      </c>
      <c r="H751" s="72">
        <v>1</v>
      </c>
      <c r="I751" s="72"/>
      <c r="J751" s="72">
        <f>+'INVENTARIO ABRIL-JUNIO 2021'!$H751-'INVENTARIO ABRIL-JUNIO 2021'!$I751</f>
        <v>1</v>
      </c>
      <c r="K751" s="72"/>
      <c r="L751" s="72"/>
      <c r="M751" s="72"/>
      <c r="N751" s="72"/>
      <c r="O751" s="296"/>
      <c r="P751" s="72"/>
      <c r="Q751" s="72"/>
      <c r="R751" s="72"/>
      <c r="S751" s="72"/>
      <c r="T751" s="72"/>
      <c r="U751" s="72">
        <f>+Tabla1[[#This Row],[STOCK    FISICO ENERO 2021]]-Tabla1[[#This Row],[REQUISICIONES FEBRERO 2021]]</f>
        <v>1</v>
      </c>
      <c r="V751" s="72">
        <f>+Tabla1[[#This Row],[STOCK  FEBRERO 2021]]-Tabla1[[#This Row],[REQUISICIONES MARZO 2021]]+Tabla1[[#This Row],[ENTRADAS MARZO 2021]]</f>
        <v>1</v>
      </c>
      <c r="W751" s="72">
        <f>+Tabla1[[#This Row],[STOCK MARZO 2021]]-Tabla1[[#This Row],[REQUISICIONES ABRIL 2021]]+Tabla1[[#This Row],[ENTRADAS ABRIL 2021]]</f>
        <v>1</v>
      </c>
      <c r="X751" s="72">
        <f>+Tabla1[[#This Row],[STOCK ABRIL 2021]]-Tabla1[[#This Row],[REQUISICIONES MAYO 2021]]+Tabla1[[#This Row],[ENTRADAS MAYO 2021]]</f>
        <v>1</v>
      </c>
      <c r="Y751" s="72">
        <f>+Tabla1[[#This Row],[STOCK MAYO 2021]]-Tabla1[[#This Row],[REQUISICIONES JUNIO 2021]]+Tabla1[[#This Row],[ENTRADAS JUNIO 2021]]</f>
        <v>1</v>
      </c>
      <c r="Z751" s="73" t="s">
        <v>105</v>
      </c>
      <c r="AA751" s="76">
        <v>38449.1</v>
      </c>
      <c r="AB751" s="35">
        <f t="shared" si="32"/>
        <v>45369.937999999995</v>
      </c>
      <c r="AC751" s="93">
        <f>Tabla1[[#This Row],[STOCK JUNIO ]]*Tabla1[[#This Row],[COSTO UNITARIO SIN ITBIS]]</f>
        <v>38449.1</v>
      </c>
    </row>
    <row r="752" spans="1:29" s="8" customFormat="1" x14ac:dyDescent="0.25">
      <c r="A752" s="266">
        <v>87</v>
      </c>
      <c r="B752" s="31">
        <v>44110</v>
      </c>
      <c r="C752" s="28" t="s">
        <v>11</v>
      </c>
      <c r="D752" s="31">
        <v>44110</v>
      </c>
      <c r="E752" s="137"/>
      <c r="F752" s="13">
        <v>1579</v>
      </c>
      <c r="G752" s="75" t="s">
        <v>549</v>
      </c>
      <c r="H752" s="72">
        <v>0</v>
      </c>
      <c r="I752" s="72">
        <v>3</v>
      </c>
      <c r="J752" s="72">
        <f>+'INVENTARIO ABRIL-JUNIO 2021'!$H752-'INVENTARIO ABRIL-JUNIO 2021'!$I752+3</f>
        <v>0</v>
      </c>
      <c r="K752" s="72"/>
      <c r="L752" s="72"/>
      <c r="M752" s="72"/>
      <c r="N752" s="72"/>
      <c r="O752" s="296"/>
      <c r="P752" s="72"/>
      <c r="Q752" s="72"/>
      <c r="R752" s="72"/>
      <c r="S752" s="72"/>
      <c r="T752" s="72"/>
      <c r="U752" s="72">
        <f>+Tabla1[[#This Row],[STOCK    FISICO ENERO 2021]]-Tabla1[[#This Row],[REQUISICIONES FEBRERO 2021]]</f>
        <v>0</v>
      </c>
      <c r="V752" s="72">
        <f>+Tabla1[[#This Row],[STOCK  FEBRERO 2021]]-Tabla1[[#This Row],[REQUISICIONES MARZO 2021]]+Tabla1[[#This Row],[ENTRADAS MARZO 2021]]</f>
        <v>0</v>
      </c>
      <c r="W752" s="72">
        <f>+Tabla1[[#This Row],[STOCK MARZO 2021]]-Tabla1[[#This Row],[REQUISICIONES ABRIL 2021]]+Tabla1[[#This Row],[ENTRADAS ABRIL 2021]]</f>
        <v>0</v>
      </c>
      <c r="X752" s="72">
        <f>+Tabla1[[#This Row],[STOCK ABRIL 2021]]-Tabla1[[#This Row],[REQUISICIONES MAYO 2021]]+Tabla1[[#This Row],[ENTRADAS MAYO 2021]]</f>
        <v>0</v>
      </c>
      <c r="Y752" s="72">
        <f>+Tabla1[[#This Row],[STOCK MAYO 2021]]-Tabla1[[#This Row],[REQUISICIONES JUNIO 2021]]+Tabla1[[#This Row],[ENTRADAS JUNIO 2021]]</f>
        <v>0</v>
      </c>
      <c r="Z752" s="73" t="s">
        <v>105</v>
      </c>
      <c r="AA752" s="76">
        <v>10.199999999999999</v>
      </c>
      <c r="AB752" s="35">
        <f t="shared" si="32"/>
        <v>12.036</v>
      </c>
      <c r="AC752" s="93">
        <f>Tabla1[[#This Row],[STOCK JUNIO ]]*Tabla1[[#This Row],[COSTO UNITARIO SIN ITBIS]]</f>
        <v>0</v>
      </c>
    </row>
    <row r="753" spans="1:29" s="8" customFormat="1" x14ac:dyDescent="0.25">
      <c r="A753" s="266">
        <v>88</v>
      </c>
      <c r="B753" s="74">
        <v>44026</v>
      </c>
      <c r="C753" s="28" t="s">
        <v>11</v>
      </c>
      <c r="D753" s="74">
        <v>44026</v>
      </c>
      <c r="E753" s="145"/>
      <c r="F753" s="13"/>
      <c r="G753" s="75" t="s">
        <v>550</v>
      </c>
      <c r="H753" s="72">
        <v>20</v>
      </c>
      <c r="I753" s="72"/>
      <c r="J753" s="72">
        <f>+'INVENTARIO ABRIL-JUNIO 2021'!$H753-'INVENTARIO ABRIL-JUNIO 2021'!$I753</f>
        <v>20</v>
      </c>
      <c r="K753" s="72"/>
      <c r="L753" s="72"/>
      <c r="M753" s="72"/>
      <c r="N753" s="72"/>
      <c r="O753" s="296"/>
      <c r="P753" s="72"/>
      <c r="Q753" s="72"/>
      <c r="R753" s="72"/>
      <c r="S753" s="72"/>
      <c r="T753" s="72"/>
      <c r="U753" s="72">
        <f>+Tabla1[[#This Row],[STOCK    FISICO ENERO 2021]]-Tabla1[[#This Row],[REQUISICIONES FEBRERO 2021]]</f>
        <v>20</v>
      </c>
      <c r="V753" s="72">
        <f>+Tabla1[[#This Row],[STOCK  FEBRERO 2021]]-Tabla1[[#This Row],[REQUISICIONES MARZO 2021]]+Tabla1[[#This Row],[ENTRADAS MARZO 2021]]</f>
        <v>20</v>
      </c>
      <c r="W753" s="72">
        <f>+Tabla1[[#This Row],[STOCK MARZO 2021]]-Tabla1[[#This Row],[REQUISICIONES ABRIL 2021]]+Tabla1[[#This Row],[ENTRADAS ABRIL 2021]]</f>
        <v>20</v>
      </c>
      <c r="X753" s="72">
        <f>+Tabla1[[#This Row],[STOCK ABRIL 2021]]-Tabla1[[#This Row],[REQUISICIONES MAYO 2021]]+Tabla1[[#This Row],[ENTRADAS MAYO 2021]]</f>
        <v>20</v>
      </c>
      <c r="Y753" s="72">
        <f>+Tabla1[[#This Row],[STOCK MAYO 2021]]-Tabla1[[#This Row],[REQUISICIONES JUNIO 2021]]+Tabla1[[#This Row],[ENTRADAS JUNIO 2021]]</f>
        <v>20</v>
      </c>
      <c r="Z753" s="73" t="s">
        <v>105</v>
      </c>
      <c r="AA753" s="76">
        <v>25</v>
      </c>
      <c r="AB753" s="35">
        <f t="shared" si="32"/>
        <v>29.5</v>
      </c>
      <c r="AC753" s="93">
        <f>Tabla1[[#This Row],[STOCK JUNIO ]]*Tabla1[[#This Row],[COSTO UNITARIO SIN ITBIS]]</f>
        <v>500</v>
      </c>
    </row>
    <row r="754" spans="1:29" s="8" customFormat="1" x14ac:dyDescent="0.25">
      <c r="A754" s="266">
        <v>89</v>
      </c>
      <c r="B754" s="74">
        <v>44028</v>
      </c>
      <c r="C754" s="28" t="s">
        <v>11</v>
      </c>
      <c r="D754" s="74">
        <v>44028</v>
      </c>
      <c r="E754" s="145"/>
      <c r="F754" s="13">
        <v>1553</v>
      </c>
      <c r="G754" s="75" t="s">
        <v>551</v>
      </c>
      <c r="H754" s="72">
        <v>1025</v>
      </c>
      <c r="I754" s="72">
        <f>10+8</f>
        <v>18</v>
      </c>
      <c r="J754" s="72">
        <f>+'INVENTARIO ABRIL-JUNIO 2021'!$H754-'INVENTARIO ABRIL-JUNIO 2021'!$I754</f>
        <v>1007</v>
      </c>
      <c r="K754" s="72"/>
      <c r="L754" s="72"/>
      <c r="M754" s="72"/>
      <c r="N754" s="72"/>
      <c r="O754" s="296"/>
      <c r="P754" s="72">
        <v>15</v>
      </c>
      <c r="Q754" s="72">
        <f>8+12+10+12+10</f>
        <v>52</v>
      </c>
      <c r="R754" s="72">
        <f>5+20+30+10</f>
        <v>65</v>
      </c>
      <c r="S754" s="72">
        <f>10+5</f>
        <v>15</v>
      </c>
      <c r="T754" s="72">
        <f>10+50+10+10+30+10+6+100+10</f>
        <v>236</v>
      </c>
      <c r="U754" s="72">
        <f>+Tabla1[[#This Row],[STOCK    FISICO ENERO 2021]]-Tabla1[[#This Row],[REQUISICIONES FEBRERO 2021]]</f>
        <v>992</v>
      </c>
      <c r="V754" s="72">
        <f>+Tabla1[[#This Row],[STOCK  FEBRERO 2021]]-Tabla1[[#This Row],[REQUISICIONES MARZO 2021]]+Tabla1[[#This Row],[ENTRADAS MARZO 2021]]</f>
        <v>940</v>
      </c>
      <c r="W754" s="72">
        <f>+Tabla1[[#This Row],[STOCK MARZO 2021]]-Tabla1[[#This Row],[REQUISICIONES ABRIL 2021]]+Tabla1[[#This Row],[ENTRADAS ABRIL 2021]]</f>
        <v>875</v>
      </c>
      <c r="X754" s="72">
        <f>+Tabla1[[#This Row],[STOCK ABRIL 2021]]-Tabla1[[#This Row],[REQUISICIONES MAYO 2021]]+Tabla1[[#This Row],[ENTRADAS MAYO 2021]]</f>
        <v>860</v>
      </c>
      <c r="Y754" s="72">
        <f>+Tabla1[[#This Row],[STOCK MAYO 2021]]-Tabla1[[#This Row],[REQUISICIONES JUNIO 2021]]+Tabla1[[#This Row],[ENTRADAS JUNIO 2021]]</f>
        <v>624</v>
      </c>
      <c r="Z754" s="73" t="s">
        <v>12</v>
      </c>
      <c r="AA754" s="76">
        <v>0.71</v>
      </c>
      <c r="AB754" s="35">
        <f t="shared" si="32"/>
        <v>0.83779999999999999</v>
      </c>
      <c r="AC754" s="93">
        <f>Tabla1[[#This Row],[STOCK JUNIO ]]*Tabla1[[#This Row],[COSTO UNITARIO SIN ITBIS]]</f>
        <v>443.03999999999996</v>
      </c>
    </row>
    <row r="755" spans="1:29" s="8" customFormat="1" x14ac:dyDescent="0.25">
      <c r="A755" s="266">
        <v>90</v>
      </c>
      <c r="B755" s="74">
        <v>44026</v>
      </c>
      <c r="C755" s="28" t="s">
        <v>11</v>
      </c>
      <c r="D755" s="74">
        <v>44026</v>
      </c>
      <c r="E755" s="145"/>
      <c r="F755" s="28">
        <v>1182</v>
      </c>
      <c r="G755" s="32" t="s">
        <v>552</v>
      </c>
      <c r="H755" s="63">
        <v>0</v>
      </c>
      <c r="I755" s="63"/>
      <c r="J755" s="63">
        <f>+'INVENTARIO ABRIL-JUNIO 2021'!$H755-'INVENTARIO ABRIL-JUNIO 2021'!$I755</f>
        <v>0</v>
      </c>
      <c r="K755" s="63"/>
      <c r="L755" s="63"/>
      <c r="M755" s="63"/>
      <c r="N755" s="63"/>
      <c r="O755" s="125"/>
      <c r="P755" s="63"/>
      <c r="Q755" s="63"/>
      <c r="R755" s="63"/>
      <c r="S755" s="63"/>
      <c r="T755" s="63"/>
      <c r="U755" s="63">
        <f>+Tabla1[[#This Row],[STOCK    FISICO ENERO 2021]]-Tabla1[[#This Row],[REQUISICIONES FEBRERO 2021]]</f>
        <v>0</v>
      </c>
      <c r="V755" s="63">
        <f>+Tabla1[[#This Row],[STOCK  FEBRERO 2021]]-Tabla1[[#This Row],[REQUISICIONES MARZO 2021]]+Tabla1[[#This Row],[ENTRADAS MARZO 2021]]</f>
        <v>0</v>
      </c>
      <c r="W755" s="63">
        <f>+Tabla1[[#This Row],[STOCK MARZO 2021]]-Tabla1[[#This Row],[REQUISICIONES ABRIL 2021]]+Tabla1[[#This Row],[ENTRADAS ABRIL 2021]]</f>
        <v>0</v>
      </c>
      <c r="X755" s="63">
        <f>+Tabla1[[#This Row],[STOCK ABRIL 2021]]-Tabla1[[#This Row],[REQUISICIONES MAYO 2021]]+Tabla1[[#This Row],[ENTRADAS MAYO 2021]]</f>
        <v>0</v>
      </c>
      <c r="Y755" s="63">
        <f>+Tabla1[[#This Row],[STOCK MAYO 2021]]-Tabla1[[#This Row],[REQUISICIONES JUNIO 2021]]+Tabla1[[#This Row],[ENTRADAS JUNIO 2021]]</f>
        <v>0</v>
      </c>
      <c r="Z755" s="30" t="s">
        <v>12</v>
      </c>
      <c r="AA755" s="34">
        <v>23.28</v>
      </c>
      <c r="AB755" s="35">
        <f t="shared" si="32"/>
        <v>27.470400000000001</v>
      </c>
      <c r="AC755" s="93">
        <f>Tabla1[[#This Row],[STOCK JUNIO ]]*Tabla1[[#This Row],[COSTO UNITARIO SIN ITBIS]]</f>
        <v>0</v>
      </c>
    </row>
    <row r="756" spans="1:29" s="8" customFormat="1" x14ac:dyDescent="0.25">
      <c r="A756" s="266">
        <v>91</v>
      </c>
      <c r="B756" s="31">
        <v>43223</v>
      </c>
      <c r="C756" s="28" t="s">
        <v>11</v>
      </c>
      <c r="D756" s="31">
        <v>43223</v>
      </c>
      <c r="E756" s="137"/>
      <c r="F756" s="13">
        <v>1554</v>
      </c>
      <c r="G756" s="75" t="s">
        <v>553</v>
      </c>
      <c r="H756" s="72">
        <v>1400</v>
      </c>
      <c r="I756" s="72"/>
      <c r="J756" s="72">
        <f>+'INVENTARIO ABRIL-JUNIO 2021'!$H756-'INVENTARIO ABRIL-JUNIO 2021'!$I756</f>
        <v>1400</v>
      </c>
      <c r="K756" s="72"/>
      <c r="L756" s="72"/>
      <c r="M756" s="72"/>
      <c r="N756" s="72"/>
      <c r="O756" s="296"/>
      <c r="P756" s="72"/>
      <c r="Q756" s="72">
        <f>10+10</f>
        <v>20</v>
      </c>
      <c r="R756" s="72"/>
      <c r="S756" s="72">
        <v>6</v>
      </c>
      <c r="T756" s="72"/>
      <c r="U756" s="72">
        <f>+Tabla1[[#This Row],[STOCK    FISICO ENERO 2021]]-Tabla1[[#This Row],[REQUISICIONES FEBRERO 2021]]</f>
        <v>1400</v>
      </c>
      <c r="V756" s="72">
        <f>+Tabla1[[#This Row],[STOCK  FEBRERO 2021]]-Tabla1[[#This Row],[REQUISICIONES MARZO 2021]]+Tabla1[[#This Row],[ENTRADAS MARZO 2021]]</f>
        <v>1380</v>
      </c>
      <c r="W756" s="72">
        <f>+Tabla1[[#This Row],[STOCK MARZO 2021]]-Tabla1[[#This Row],[REQUISICIONES ABRIL 2021]]+Tabla1[[#This Row],[ENTRADAS ABRIL 2021]]</f>
        <v>1380</v>
      </c>
      <c r="X756" s="72">
        <f>+Tabla1[[#This Row],[STOCK ABRIL 2021]]-Tabla1[[#This Row],[REQUISICIONES MAYO 2021]]+Tabla1[[#This Row],[ENTRADAS MAYO 2021]]</f>
        <v>1374</v>
      </c>
      <c r="Y756" s="72">
        <f>+Tabla1[[#This Row],[STOCK MAYO 2021]]-Tabla1[[#This Row],[REQUISICIONES JUNIO 2021]]+Tabla1[[#This Row],[ENTRADAS JUNIO 2021]]</f>
        <v>1374</v>
      </c>
      <c r="Z756" s="73" t="s">
        <v>12</v>
      </c>
      <c r="AA756" s="76">
        <v>1.1599999999999999</v>
      </c>
      <c r="AB756" s="35">
        <f t="shared" si="32"/>
        <v>1.3687999999999998</v>
      </c>
      <c r="AC756" s="93">
        <f>Tabla1[[#This Row],[STOCK JUNIO ]]*Tabla1[[#This Row],[COSTO UNITARIO SIN ITBIS]]</f>
        <v>1593.84</v>
      </c>
    </row>
    <row r="757" spans="1:29" s="8" customFormat="1" x14ac:dyDescent="0.25">
      <c r="A757" s="266">
        <v>92</v>
      </c>
      <c r="B757" s="74">
        <v>43223</v>
      </c>
      <c r="C757" s="28" t="s">
        <v>11</v>
      </c>
      <c r="D757" s="74">
        <v>43223</v>
      </c>
      <c r="E757" s="145"/>
      <c r="F757" s="28">
        <v>1552</v>
      </c>
      <c r="G757" s="32" t="s">
        <v>554</v>
      </c>
      <c r="H757" s="63">
        <v>1436</v>
      </c>
      <c r="I757" s="63"/>
      <c r="J757" s="63">
        <f>+'INVENTARIO ABRIL-JUNIO 2021'!$H757-'INVENTARIO ABRIL-JUNIO 2021'!$I757</f>
        <v>1436</v>
      </c>
      <c r="K757" s="63"/>
      <c r="L757" s="63"/>
      <c r="M757" s="63"/>
      <c r="N757" s="63"/>
      <c r="O757" s="125"/>
      <c r="P757" s="63"/>
      <c r="Q757" s="63">
        <f>20+30</f>
        <v>50</v>
      </c>
      <c r="R757" s="63">
        <f>8+50+10</f>
        <v>68</v>
      </c>
      <c r="S757" s="63">
        <f>10+10+10</f>
        <v>30</v>
      </c>
      <c r="T757" s="63">
        <v>12</v>
      </c>
      <c r="U757" s="63">
        <f>+Tabla1[[#This Row],[STOCK    FISICO ENERO 2021]]-Tabla1[[#This Row],[REQUISICIONES FEBRERO 2021]]</f>
        <v>1436</v>
      </c>
      <c r="V757" s="63">
        <f>+Tabla1[[#This Row],[STOCK  FEBRERO 2021]]-Tabla1[[#This Row],[REQUISICIONES MARZO 2021]]+Tabla1[[#This Row],[ENTRADAS MARZO 2021]]</f>
        <v>1386</v>
      </c>
      <c r="W757" s="63">
        <f>+Tabla1[[#This Row],[STOCK MARZO 2021]]-Tabla1[[#This Row],[REQUISICIONES ABRIL 2021]]+Tabla1[[#This Row],[ENTRADAS ABRIL 2021]]</f>
        <v>1318</v>
      </c>
      <c r="X757" s="63">
        <f>+Tabla1[[#This Row],[STOCK ABRIL 2021]]-Tabla1[[#This Row],[REQUISICIONES MAYO 2021]]+Tabla1[[#This Row],[ENTRADAS MAYO 2021]]</f>
        <v>1288</v>
      </c>
      <c r="Y757" s="63">
        <f>+Tabla1[[#This Row],[STOCK MAYO 2021]]-Tabla1[[#This Row],[REQUISICIONES JUNIO 2021]]+Tabla1[[#This Row],[ENTRADAS JUNIO 2021]]</f>
        <v>1276</v>
      </c>
      <c r="Z757" s="30" t="s">
        <v>12</v>
      </c>
      <c r="AA757" s="34">
        <v>0.56000000000000005</v>
      </c>
      <c r="AB757" s="35">
        <f t="shared" si="32"/>
        <v>0.66080000000000005</v>
      </c>
      <c r="AC757" s="93">
        <f>Tabla1[[#This Row],[STOCK JUNIO ]]*Tabla1[[#This Row],[COSTO UNITARIO SIN ITBIS]]</f>
        <v>714.56000000000006</v>
      </c>
    </row>
    <row r="758" spans="1:29" s="8" customFormat="1" x14ac:dyDescent="0.25">
      <c r="A758" s="266">
        <v>93</v>
      </c>
      <c r="B758" s="31">
        <v>43223</v>
      </c>
      <c r="C758" s="28" t="s">
        <v>11</v>
      </c>
      <c r="D758" s="31">
        <v>43223</v>
      </c>
      <c r="E758" s="137"/>
      <c r="F758" s="28">
        <v>1544</v>
      </c>
      <c r="G758" s="32" t="s">
        <v>555</v>
      </c>
      <c r="H758" s="63">
        <v>46</v>
      </c>
      <c r="I758" s="63"/>
      <c r="J758" s="63">
        <f>+'INVENTARIO ABRIL-JUNIO 2021'!$H758-'INVENTARIO ABRIL-JUNIO 2021'!$I758</f>
        <v>46</v>
      </c>
      <c r="K758" s="63"/>
      <c r="L758" s="63"/>
      <c r="M758" s="63"/>
      <c r="N758" s="63"/>
      <c r="O758" s="125"/>
      <c r="P758" s="63"/>
      <c r="Q758" s="63">
        <v>4</v>
      </c>
      <c r="R758" s="63"/>
      <c r="S758" s="63"/>
      <c r="T758" s="63"/>
      <c r="U758" s="63">
        <f>+Tabla1[[#This Row],[STOCK    FISICO ENERO 2021]]-Tabla1[[#This Row],[REQUISICIONES FEBRERO 2021]]</f>
        <v>46</v>
      </c>
      <c r="V758" s="63">
        <f>+Tabla1[[#This Row],[STOCK  FEBRERO 2021]]-Tabla1[[#This Row],[REQUISICIONES MARZO 2021]]+Tabla1[[#This Row],[ENTRADAS MARZO 2021]]</f>
        <v>42</v>
      </c>
      <c r="W758" s="63">
        <f>+Tabla1[[#This Row],[STOCK MARZO 2021]]-Tabla1[[#This Row],[REQUISICIONES ABRIL 2021]]+Tabla1[[#This Row],[ENTRADAS ABRIL 2021]]</f>
        <v>42</v>
      </c>
      <c r="X758" s="63">
        <f>+Tabla1[[#This Row],[STOCK ABRIL 2021]]-Tabla1[[#This Row],[REQUISICIONES MAYO 2021]]+Tabla1[[#This Row],[ENTRADAS MAYO 2021]]</f>
        <v>42</v>
      </c>
      <c r="Y758" s="63">
        <f>+Tabla1[[#This Row],[STOCK MAYO 2021]]-Tabla1[[#This Row],[REQUISICIONES JUNIO 2021]]+Tabla1[[#This Row],[ENTRADAS JUNIO 2021]]</f>
        <v>42</v>
      </c>
      <c r="Z758" s="30" t="s">
        <v>12</v>
      </c>
      <c r="AA758" s="34">
        <v>30.51</v>
      </c>
      <c r="AB758" s="35">
        <f t="shared" si="32"/>
        <v>36.001800000000003</v>
      </c>
      <c r="AC758" s="93">
        <f>Tabla1[[#This Row],[STOCK JUNIO ]]*Tabla1[[#This Row],[COSTO UNITARIO SIN ITBIS]]</f>
        <v>1281.42</v>
      </c>
    </row>
    <row r="759" spans="1:29" s="8" customFormat="1" x14ac:dyDescent="0.25">
      <c r="A759" s="266">
        <v>94</v>
      </c>
      <c r="B759" s="31">
        <v>43075</v>
      </c>
      <c r="C759" s="28" t="s">
        <v>11</v>
      </c>
      <c r="D759" s="31">
        <v>43075</v>
      </c>
      <c r="E759" s="137"/>
      <c r="F759" s="13"/>
      <c r="G759" s="75" t="s">
        <v>674</v>
      </c>
      <c r="H759" s="72">
        <v>15</v>
      </c>
      <c r="I759" s="72"/>
      <c r="J759" s="72">
        <f>+'INVENTARIO ABRIL-JUNIO 2021'!$H759-'INVENTARIO ABRIL-JUNIO 2021'!$I759</f>
        <v>15</v>
      </c>
      <c r="K759" s="72"/>
      <c r="L759" s="72"/>
      <c r="M759" s="72"/>
      <c r="N759" s="72"/>
      <c r="O759" s="296"/>
      <c r="P759" s="72"/>
      <c r="Q759" s="72"/>
      <c r="R759" s="72">
        <f>3+2</f>
        <v>5</v>
      </c>
      <c r="S759" s="72"/>
      <c r="T759" s="72"/>
      <c r="U759" s="72">
        <f>+Tabla1[[#This Row],[STOCK    FISICO ENERO 2021]]-Tabla1[[#This Row],[REQUISICIONES FEBRERO 2021]]</f>
        <v>15</v>
      </c>
      <c r="V759" s="72">
        <f>+Tabla1[[#This Row],[STOCK  FEBRERO 2021]]-Tabla1[[#This Row],[REQUISICIONES MARZO 2021]]+Tabla1[[#This Row],[ENTRADAS MARZO 2021]]</f>
        <v>15</v>
      </c>
      <c r="W759" s="72">
        <f>+Tabla1[[#This Row],[STOCK MARZO 2021]]-Tabla1[[#This Row],[REQUISICIONES ABRIL 2021]]+Tabla1[[#This Row],[ENTRADAS ABRIL 2021]]</f>
        <v>10</v>
      </c>
      <c r="X759" s="72">
        <f>+Tabla1[[#This Row],[STOCK ABRIL 2021]]-Tabla1[[#This Row],[REQUISICIONES MAYO 2021]]+Tabla1[[#This Row],[ENTRADAS MAYO 2021]]</f>
        <v>10</v>
      </c>
      <c r="Y759" s="72">
        <f>+Tabla1[[#This Row],[STOCK MAYO 2021]]-Tabla1[[#This Row],[REQUISICIONES JUNIO 2021]]+Tabla1[[#This Row],[ENTRADAS JUNIO 2021]]</f>
        <v>10</v>
      </c>
      <c r="Z759" s="73" t="s">
        <v>105</v>
      </c>
      <c r="AA759" s="76">
        <v>250</v>
      </c>
      <c r="AB759" s="35">
        <f t="shared" si="32"/>
        <v>295</v>
      </c>
      <c r="AC759" s="93">
        <f>Tabla1[[#This Row],[STOCK JUNIO ]]*Tabla1[[#This Row],[COSTO UNITARIO SIN ITBIS]]</f>
        <v>2500</v>
      </c>
    </row>
    <row r="760" spans="1:29" s="8" customFormat="1" x14ac:dyDescent="0.25">
      <c r="A760" s="266">
        <v>95</v>
      </c>
      <c r="B760" s="74">
        <v>44026</v>
      </c>
      <c r="C760" s="28" t="s">
        <v>11</v>
      </c>
      <c r="D760" s="74">
        <v>44026</v>
      </c>
      <c r="E760" s="145"/>
      <c r="F760" s="13">
        <v>1234</v>
      </c>
      <c r="G760" s="32" t="s">
        <v>677</v>
      </c>
      <c r="H760" s="63">
        <v>110</v>
      </c>
      <c r="I760" s="63"/>
      <c r="J760" s="63">
        <f>+'INVENTARIO ABRIL-JUNIO 2021'!$H760-'INVENTARIO ABRIL-JUNIO 2021'!$I760</f>
        <v>110</v>
      </c>
      <c r="K760" s="63"/>
      <c r="L760" s="63"/>
      <c r="M760" s="63"/>
      <c r="N760" s="63"/>
      <c r="O760" s="125"/>
      <c r="P760" s="63"/>
      <c r="Q760" s="63"/>
      <c r="R760" s="63"/>
      <c r="S760" s="63"/>
      <c r="T760" s="63"/>
      <c r="U760" s="63">
        <f>+Tabla1[[#This Row],[STOCK    FISICO ENERO 2021]]-Tabla1[[#This Row],[REQUISICIONES FEBRERO 2021]]</f>
        <v>110</v>
      </c>
      <c r="V760" s="63">
        <f>+Tabla1[[#This Row],[STOCK  FEBRERO 2021]]-Tabla1[[#This Row],[REQUISICIONES MARZO 2021]]+Tabla1[[#This Row],[ENTRADAS MARZO 2021]]</f>
        <v>110</v>
      </c>
      <c r="W760" s="63">
        <f>+Tabla1[[#This Row],[STOCK MARZO 2021]]-Tabla1[[#This Row],[REQUISICIONES ABRIL 2021]]+Tabla1[[#This Row],[ENTRADAS ABRIL 2021]]</f>
        <v>110</v>
      </c>
      <c r="X760" s="63">
        <f>+Tabla1[[#This Row],[STOCK ABRIL 2021]]-Tabla1[[#This Row],[REQUISICIONES MAYO 2021]]+Tabla1[[#This Row],[ENTRADAS MAYO 2021]]</f>
        <v>110</v>
      </c>
      <c r="Y760" s="63">
        <f>+Tabla1[[#This Row],[STOCK MAYO 2021]]-Tabla1[[#This Row],[REQUISICIONES JUNIO 2021]]+Tabla1[[#This Row],[ENTRADAS JUNIO 2021]]</f>
        <v>110</v>
      </c>
      <c r="Z760" s="30" t="s">
        <v>12</v>
      </c>
      <c r="AA760" s="34">
        <v>9.18</v>
      </c>
      <c r="AB760" s="35">
        <f t="shared" si="32"/>
        <v>10.8324</v>
      </c>
      <c r="AC760" s="93">
        <f>Tabla1[[#This Row],[STOCK JUNIO ]]*Tabla1[[#This Row],[COSTO UNITARIO SIN ITBIS]]</f>
        <v>1009.8</v>
      </c>
    </row>
    <row r="761" spans="1:29" s="8" customFormat="1" x14ac:dyDescent="0.25">
      <c r="A761" s="266">
        <v>96</v>
      </c>
      <c r="B761" s="31">
        <v>44026</v>
      </c>
      <c r="C761" s="28" t="s">
        <v>11</v>
      </c>
      <c r="D761" s="31">
        <v>44026</v>
      </c>
      <c r="E761" s="137"/>
      <c r="F761" s="28">
        <v>1233</v>
      </c>
      <c r="G761" s="32" t="s">
        <v>556</v>
      </c>
      <c r="H761" s="63">
        <v>0</v>
      </c>
      <c r="I761" s="63"/>
      <c r="J761" s="63">
        <f>+'INVENTARIO ABRIL-JUNIO 2021'!$H761-'INVENTARIO ABRIL-JUNIO 2021'!$I761</f>
        <v>0</v>
      </c>
      <c r="K761" s="63"/>
      <c r="L761" s="63"/>
      <c r="M761" s="63"/>
      <c r="N761" s="63"/>
      <c r="O761" s="125"/>
      <c r="P761" s="63"/>
      <c r="Q761" s="63"/>
      <c r="R761" s="63"/>
      <c r="S761" s="63"/>
      <c r="T761" s="63"/>
      <c r="U761" s="63">
        <f>+Tabla1[[#This Row],[STOCK    FISICO ENERO 2021]]-Tabla1[[#This Row],[REQUISICIONES FEBRERO 2021]]</f>
        <v>0</v>
      </c>
      <c r="V761" s="63">
        <f>+Tabla1[[#This Row],[STOCK  FEBRERO 2021]]-Tabla1[[#This Row],[REQUISICIONES MARZO 2021]]+Tabla1[[#This Row],[ENTRADAS MARZO 2021]]</f>
        <v>0</v>
      </c>
      <c r="W761" s="63">
        <f>+Tabla1[[#This Row],[STOCK MARZO 2021]]-Tabla1[[#This Row],[REQUISICIONES ABRIL 2021]]+Tabla1[[#This Row],[ENTRADAS ABRIL 2021]]</f>
        <v>0</v>
      </c>
      <c r="X761" s="63">
        <f>+Tabla1[[#This Row],[STOCK ABRIL 2021]]-Tabla1[[#This Row],[REQUISICIONES MAYO 2021]]+Tabla1[[#This Row],[ENTRADAS MAYO 2021]]</f>
        <v>0</v>
      </c>
      <c r="Y761" s="63">
        <f>+Tabla1[[#This Row],[STOCK MAYO 2021]]-Tabla1[[#This Row],[REQUISICIONES JUNIO 2021]]+Tabla1[[#This Row],[ENTRADAS JUNIO 2021]]</f>
        <v>0</v>
      </c>
      <c r="Z761" s="30" t="s">
        <v>12</v>
      </c>
      <c r="AA761" s="34">
        <v>4.57</v>
      </c>
      <c r="AB761" s="35">
        <f t="shared" si="32"/>
        <v>5.3925999999999998</v>
      </c>
      <c r="AC761" s="93">
        <f>Tabla1[[#This Row],[STOCK JUNIO ]]*Tabla1[[#This Row],[COSTO UNITARIO SIN ITBIS]]</f>
        <v>0</v>
      </c>
    </row>
    <row r="762" spans="1:29" s="8" customFormat="1" x14ac:dyDescent="0.25">
      <c r="A762" s="266">
        <v>97</v>
      </c>
      <c r="B762" s="31"/>
      <c r="C762" s="28" t="s">
        <v>11</v>
      </c>
      <c r="D762" s="31"/>
      <c r="E762" s="137"/>
      <c r="F762" s="13">
        <v>1533</v>
      </c>
      <c r="G762" s="75" t="s">
        <v>557</v>
      </c>
      <c r="H762" s="72">
        <v>0</v>
      </c>
      <c r="I762" s="72"/>
      <c r="J762" s="72">
        <f>+'INVENTARIO ABRIL-JUNIO 2021'!$H762-'INVENTARIO ABRIL-JUNIO 2021'!$I762</f>
        <v>0</v>
      </c>
      <c r="K762" s="72"/>
      <c r="L762" s="72"/>
      <c r="M762" s="72"/>
      <c r="N762" s="72"/>
      <c r="O762" s="296"/>
      <c r="P762" s="72"/>
      <c r="Q762" s="72"/>
      <c r="R762" s="72"/>
      <c r="S762" s="72"/>
      <c r="T762" s="72"/>
      <c r="U762" s="72">
        <f>+Tabla1[[#This Row],[STOCK    FISICO ENERO 2021]]-Tabla1[[#This Row],[REQUISICIONES FEBRERO 2021]]</f>
        <v>0</v>
      </c>
      <c r="V762" s="72">
        <f>+Tabla1[[#This Row],[STOCK  FEBRERO 2021]]-Tabla1[[#This Row],[REQUISICIONES MARZO 2021]]+Tabla1[[#This Row],[ENTRADAS MARZO 2021]]</f>
        <v>0</v>
      </c>
      <c r="W762" s="72">
        <f>+Tabla1[[#This Row],[STOCK MARZO 2021]]-Tabla1[[#This Row],[REQUISICIONES ABRIL 2021]]+Tabla1[[#This Row],[ENTRADAS ABRIL 2021]]</f>
        <v>0</v>
      </c>
      <c r="X762" s="72">
        <f>+Tabla1[[#This Row],[STOCK ABRIL 2021]]-Tabla1[[#This Row],[REQUISICIONES MAYO 2021]]+Tabla1[[#This Row],[ENTRADAS MAYO 2021]]</f>
        <v>0</v>
      </c>
      <c r="Y762" s="72">
        <f>+Tabla1[[#This Row],[STOCK MAYO 2021]]-Tabla1[[#This Row],[REQUISICIONES JUNIO 2021]]+Tabla1[[#This Row],[ENTRADAS JUNIO 2021]]</f>
        <v>0</v>
      </c>
      <c r="Z762" s="73" t="s">
        <v>12</v>
      </c>
      <c r="AA762" s="76">
        <v>3.46</v>
      </c>
      <c r="AB762" s="35">
        <f t="shared" si="32"/>
        <v>4.0827999999999998</v>
      </c>
      <c r="AC762" s="93">
        <f>Tabla1[[#This Row],[STOCK JUNIO ]]*Tabla1[[#This Row],[COSTO UNITARIO SIN ITBIS]]</f>
        <v>0</v>
      </c>
    </row>
    <row r="763" spans="1:29" s="8" customFormat="1" x14ac:dyDescent="0.25">
      <c r="A763" s="266">
        <v>98</v>
      </c>
      <c r="B763" s="31">
        <v>44026</v>
      </c>
      <c r="C763" s="28" t="s">
        <v>11</v>
      </c>
      <c r="D763" s="31">
        <v>44026</v>
      </c>
      <c r="E763" s="137"/>
      <c r="F763" s="28">
        <v>1534</v>
      </c>
      <c r="G763" s="32" t="s">
        <v>558</v>
      </c>
      <c r="H763" s="63">
        <v>60</v>
      </c>
      <c r="I763" s="63"/>
      <c r="J763" s="63">
        <f>+'INVENTARIO ABRIL-JUNIO 2021'!$H763-'INVENTARIO ABRIL-JUNIO 2021'!$I763</f>
        <v>60</v>
      </c>
      <c r="K763" s="63"/>
      <c r="L763" s="63"/>
      <c r="M763" s="63"/>
      <c r="N763" s="63"/>
      <c r="O763" s="125"/>
      <c r="P763" s="63"/>
      <c r="Q763" s="63"/>
      <c r="R763" s="63"/>
      <c r="S763" s="63"/>
      <c r="T763" s="63"/>
      <c r="U763" s="63">
        <f>+Tabla1[[#This Row],[STOCK    FISICO ENERO 2021]]-Tabla1[[#This Row],[REQUISICIONES FEBRERO 2021]]</f>
        <v>60</v>
      </c>
      <c r="V763" s="63">
        <f>+Tabla1[[#This Row],[STOCK  FEBRERO 2021]]-Tabla1[[#This Row],[REQUISICIONES MARZO 2021]]+Tabla1[[#This Row],[ENTRADAS MARZO 2021]]</f>
        <v>60</v>
      </c>
      <c r="W763" s="63">
        <f>+Tabla1[[#This Row],[STOCK MARZO 2021]]-Tabla1[[#This Row],[REQUISICIONES ABRIL 2021]]+Tabla1[[#This Row],[ENTRADAS ABRIL 2021]]</f>
        <v>60</v>
      </c>
      <c r="X763" s="63">
        <f>+Tabla1[[#This Row],[STOCK ABRIL 2021]]-Tabla1[[#This Row],[REQUISICIONES MAYO 2021]]+Tabla1[[#This Row],[ENTRADAS MAYO 2021]]</f>
        <v>60</v>
      </c>
      <c r="Y763" s="63">
        <f>+Tabla1[[#This Row],[STOCK MAYO 2021]]-Tabla1[[#This Row],[REQUISICIONES JUNIO 2021]]+Tabla1[[#This Row],[ENTRADAS JUNIO 2021]]</f>
        <v>60</v>
      </c>
      <c r="Z763" s="30" t="s">
        <v>12</v>
      </c>
      <c r="AA763" s="34">
        <v>3.46</v>
      </c>
      <c r="AB763" s="35">
        <f t="shared" si="32"/>
        <v>4.0827999999999998</v>
      </c>
      <c r="AC763" s="93">
        <f>Tabla1[[#This Row],[STOCK JUNIO ]]*Tabla1[[#This Row],[COSTO UNITARIO SIN ITBIS]]</f>
        <v>207.6</v>
      </c>
    </row>
    <row r="764" spans="1:29" s="8" customFormat="1" x14ac:dyDescent="0.25">
      <c r="A764" s="266">
        <v>99</v>
      </c>
      <c r="B764" s="310"/>
      <c r="C764" s="311"/>
      <c r="D764" s="243"/>
      <c r="E764" s="249"/>
      <c r="F764" s="244"/>
      <c r="G764" s="32" t="s">
        <v>925</v>
      </c>
      <c r="H764" s="245">
        <v>32</v>
      </c>
      <c r="I764" s="245"/>
      <c r="J764" s="245">
        <f>+'INVENTARIO ABRIL-JUNIO 2021'!$H764-'INVENTARIO ABRIL-JUNIO 2021'!$I764</f>
        <v>32</v>
      </c>
      <c r="K764" s="245"/>
      <c r="L764" s="245"/>
      <c r="M764" s="245"/>
      <c r="N764" s="246"/>
      <c r="O764" s="247"/>
      <c r="P764" s="245"/>
      <c r="Q764" s="245"/>
      <c r="R764" s="245"/>
      <c r="S764" s="245"/>
      <c r="T764" s="245">
        <v>4</v>
      </c>
      <c r="U764" s="247">
        <f>+Tabla1[[#This Row],[STOCK    FISICO ENERO 2021]]-Tabla1[[#This Row],[REQUISICIONES FEBRERO 2021]]</f>
        <v>32</v>
      </c>
      <c r="V764" s="247">
        <f>+Tabla1[[#This Row],[STOCK  FEBRERO 2021]]-Tabla1[[#This Row],[REQUISICIONES MARZO 2021]]+Tabla1[[#This Row],[ENTRADAS MARZO 2021]]</f>
        <v>32</v>
      </c>
      <c r="W764" s="125">
        <f>+Tabla1[[#This Row],[STOCK MARZO 2021]]-Tabla1[[#This Row],[REQUISICIONES ABRIL 2021]]+Tabla1[[#This Row],[ENTRADAS ABRIL 2021]]</f>
        <v>32</v>
      </c>
      <c r="X764" s="125">
        <f>+Tabla1[[#This Row],[STOCK ABRIL 2021]]-Tabla1[[#This Row],[REQUISICIONES MAYO 2021]]+Tabla1[[#This Row],[ENTRADAS MAYO 2021]]</f>
        <v>32</v>
      </c>
      <c r="Y764" s="125">
        <f>+Tabla1[[#This Row],[STOCK MAYO 2021]]-Tabla1[[#This Row],[REQUISICIONES JUNIO 2021]]+Tabla1[[#This Row],[ENTRADAS JUNIO 2021]]</f>
        <v>28</v>
      </c>
      <c r="Z764" s="30" t="s">
        <v>12</v>
      </c>
      <c r="AA764" s="248"/>
      <c r="AB764" s="252"/>
      <c r="AC764" s="253">
        <f>J764*AA764</f>
        <v>0</v>
      </c>
    </row>
    <row r="765" spans="1:29" s="8" customFormat="1" x14ac:dyDescent="0.25">
      <c r="A765" s="266">
        <v>100</v>
      </c>
      <c r="B765" s="74">
        <v>43223</v>
      </c>
      <c r="C765" s="28" t="s">
        <v>11</v>
      </c>
      <c r="D765" s="74">
        <v>43223</v>
      </c>
      <c r="E765" s="145"/>
      <c r="F765" s="13">
        <v>1236</v>
      </c>
      <c r="G765" s="75" t="s">
        <v>678</v>
      </c>
      <c r="H765" s="72">
        <v>209</v>
      </c>
      <c r="I765" s="72"/>
      <c r="J765" s="72">
        <f>+'INVENTARIO ABRIL-JUNIO 2021'!$H765-'INVENTARIO ABRIL-JUNIO 2021'!$I765</f>
        <v>209</v>
      </c>
      <c r="K765" s="72"/>
      <c r="L765" s="72"/>
      <c r="M765" s="72"/>
      <c r="N765" s="72"/>
      <c r="O765" s="296"/>
      <c r="P765" s="72"/>
      <c r="Q765" s="72"/>
      <c r="R765" s="72"/>
      <c r="S765" s="72"/>
      <c r="T765" s="72"/>
      <c r="U765" s="72">
        <f>+Tabla1[[#This Row],[STOCK    FISICO ENERO 2021]]-Tabla1[[#This Row],[REQUISICIONES FEBRERO 2021]]</f>
        <v>209</v>
      </c>
      <c r="V765" s="72">
        <f>+Tabla1[[#This Row],[STOCK  FEBRERO 2021]]-Tabla1[[#This Row],[REQUISICIONES MARZO 2021]]+Tabla1[[#This Row],[ENTRADAS MARZO 2021]]</f>
        <v>209</v>
      </c>
      <c r="W765" s="72">
        <f>+Tabla1[[#This Row],[STOCK MARZO 2021]]-Tabla1[[#This Row],[REQUISICIONES ABRIL 2021]]+Tabla1[[#This Row],[ENTRADAS ABRIL 2021]]</f>
        <v>209</v>
      </c>
      <c r="X765" s="72">
        <f>+Tabla1[[#This Row],[STOCK ABRIL 2021]]-Tabla1[[#This Row],[REQUISICIONES MAYO 2021]]+Tabla1[[#This Row],[ENTRADAS MAYO 2021]]</f>
        <v>209</v>
      </c>
      <c r="Y765" s="72">
        <f>+Tabla1[[#This Row],[STOCK MAYO 2021]]-Tabla1[[#This Row],[REQUISICIONES JUNIO 2021]]+Tabla1[[#This Row],[ENTRADAS JUNIO 2021]]</f>
        <v>209</v>
      </c>
      <c r="Z765" s="73" t="s">
        <v>12</v>
      </c>
      <c r="AA765" s="76">
        <v>2</v>
      </c>
      <c r="AB765" s="35">
        <f t="shared" si="32"/>
        <v>2.36</v>
      </c>
      <c r="AC765" s="93">
        <f>Tabla1[[#This Row],[STOCK JUNIO ]]*Tabla1[[#This Row],[COSTO UNITARIO SIN ITBIS]]</f>
        <v>418</v>
      </c>
    </row>
    <row r="766" spans="1:29" s="8" customFormat="1" x14ac:dyDescent="0.25">
      <c r="A766" s="266">
        <v>101</v>
      </c>
      <c r="B766" s="31"/>
      <c r="C766" s="28" t="s">
        <v>11</v>
      </c>
      <c r="D766" s="31"/>
      <c r="E766" s="137"/>
      <c r="F766" s="13"/>
      <c r="G766" s="32" t="s">
        <v>681</v>
      </c>
      <c r="H766" s="63">
        <v>69</v>
      </c>
      <c r="I766" s="63"/>
      <c r="J766" s="63">
        <f>+'INVENTARIO ABRIL-JUNIO 2021'!$H766-'INVENTARIO ABRIL-JUNIO 2021'!$I766</f>
        <v>69</v>
      </c>
      <c r="K766" s="63"/>
      <c r="L766" s="63"/>
      <c r="M766" s="63"/>
      <c r="N766" s="63"/>
      <c r="O766" s="125"/>
      <c r="P766" s="63"/>
      <c r="Q766" s="63"/>
      <c r="R766" s="63"/>
      <c r="S766" s="63"/>
      <c r="T766" s="63"/>
      <c r="U766" s="63">
        <f>+Tabla1[[#This Row],[STOCK    FISICO ENERO 2021]]-Tabla1[[#This Row],[REQUISICIONES FEBRERO 2021]]</f>
        <v>69</v>
      </c>
      <c r="V766" s="63">
        <f>+Tabla1[[#This Row],[STOCK  FEBRERO 2021]]-Tabla1[[#This Row],[REQUISICIONES MARZO 2021]]+Tabla1[[#This Row],[ENTRADAS MARZO 2021]]</f>
        <v>69</v>
      </c>
      <c r="W766" s="63">
        <f>+Tabla1[[#This Row],[STOCK MARZO 2021]]-Tabla1[[#This Row],[REQUISICIONES ABRIL 2021]]+Tabla1[[#This Row],[ENTRADAS ABRIL 2021]]</f>
        <v>69</v>
      </c>
      <c r="X766" s="63">
        <f>+Tabla1[[#This Row],[STOCK ABRIL 2021]]-Tabla1[[#This Row],[REQUISICIONES MAYO 2021]]+Tabla1[[#This Row],[ENTRADAS MAYO 2021]]</f>
        <v>69</v>
      </c>
      <c r="Y766" s="63">
        <f>+Tabla1[[#This Row],[STOCK MAYO 2021]]-Tabla1[[#This Row],[REQUISICIONES JUNIO 2021]]+Tabla1[[#This Row],[ENTRADAS JUNIO 2021]]</f>
        <v>69</v>
      </c>
      <c r="Z766" s="73" t="s">
        <v>12</v>
      </c>
      <c r="AA766" s="34">
        <v>0</v>
      </c>
      <c r="AB766" s="35">
        <f t="shared" si="32"/>
        <v>0</v>
      </c>
      <c r="AC766" s="93">
        <f>Tabla1[[#This Row],[STOCK JUNIO ]]*Tabla1[[#This Row],[COSTO UNITARIO SIN ITBIS]]</f>
        <v>0</v>
      </c>
    </row>
    <row r="767" spans="1:29" s="8" customFormat="1" x14ac:dyDescent="0.25">
      <c r="A767" s="266">
        <v>102</v>
      </c>
      <c r="B767" s="31"/>
      <c r="C767" s="28" t="s">
        <v>11</v>
      </c>
      <c r="D767" s="31"/>
      <c r="E767" s="137"/>
      <c r="F767" s="13"/>
      <c r="G767" s="32" t="s">
        <v>680</v>
      </c>
      <c r="H767" s="63">
        <v>21</v>
      </c>
      <c r="I767" s="63"/>
      <c r="J767" s="63">
        <f>+'INVENTARIO ABRIL-JUNIO 2021'!$H767-'INVENTARIO ABRIL-JUNIO 2021'!$I767</f>
        <v>21</v>
      </c>
      <c r="K767" s="63"/>
      <c r="L767" s="63"/>
      <c r="M767" s="63"/>
      <c r="N767" s="63"/>
      <c r="O767" s="125"/>
      <c r="P767" s="63"/>
      <c r="Q767" s="63"/>
      <c r="R767" s="63"/>
      <c r="S767" s="63"/>
      <c r="T767" s="63"/>
      <c r="U767" s="63">
        <f>+Tabla1[[#This Row],[STOCK    FISICO ENERO 2021]]-Tabla1[[#This Row],[REQUISICIONES FEBRERO 2021]]</f>
        <v>21</v>
      </c>
      <c r="V767" s="63">
        <f>+Tabla1[[#This Row],[STOCK  FEBRERO 2021]]-Tabla1[[#This Row],[REQUISICIONES MARZO 2021]]+Tabla1[[#This Row],[ENTRADAS MARZO 2021]]</f>
        <v>21</v>
      </c>
      <c r="W767" s="63">
        <f>+Tabla1[[#This Row],[STOCK MARZO 2021]]-Tabla1[[#This Row],[REQUISICIONES ABRIL 2021]]+Tabla1[[#This Row],[ENTRADAS ABRIL 2021]]</f>
        <v>21</v>
      </c>
      <c r="X767" s="63">
        <f>+Tabla1[[#This Row],[STOCK ABRIL 2021]]-Tabla1[[#This Row],[REQUISICIONES MAYO 2021]]+Tabla1[[#This Row],[ENTRADAS MAYO 2021]]</f>
        <v>21</v>
      </c>
      <c r="Y767" s="63">
        <f>+Tabla1[[#This Row],[STOCK MAYO 2021]]-Tabla1[[#This Row],[REQUISICIONES JUNIO 2021]]+Tabla1[[#This Row],[ENTRADAS JUNIO 2021]]</f>
        <v>21</v>
      </c>
      <c r="Z767" s="73" t="s">
        <v>12</v>
      </c>
      <c r="AA767" s="34">
        <v>0</v>
      </c>
      <c r="AB767" s="35">
        <f t="shared" si="32"/>
        <v>0</v>
      </c>
      <c r="AC767" s="93">
        <f>Tabla1[[#This Row],[STOCK JUNIO ]]*Tabla1[[#This Row],[COSTO UNITARIO SIN ITBIS]]</f>
        <v>0</v>
      </c>
    </row>
    <row r="768" spans="1:29" s="8" customFormat="1" x14ac:dyDescent="0.25">
      <c r="A768" s="266">
        <v>103</v>
      </c>
      <c r="B768" s="74">
        <v>44168</v>
      </c>
      <c r="C768" s="28" t="s">
        <v>11</v>
      </c>
      <c r="D768" s="74">
        <v>44154</v>
      </c>
      <c r="E768" s="145"/>
      <c r="F768" s="28">
        <v>1526</v>
      </c>
      <c r="G768" s="75" t="s">
        <v>559</v>
      </c>
      <c r="H768" s="72">
        <v>6718</v>
      </c>
      <c r="I768" s="72"/>
      <c r="J768" s="72">
        <f>+'INVENTARIO ABRIL-JUNIO 2021'!$H768-'INVENTARIO ABRIL-JUNIO 2021'!$I768</f>
        <v>6718</v>
      </c>
      <c r="K768" s="72"/>
      <c r="L768" s="72"/>
      <c r="M768" s="72"/>
      <c r="N768" s="72"/>
      <c r="O768" s="296"/>
      <c r="P768" s="72">
        <f>15+10</f>
        <v>25</v>
      </c>
      <c r="Q768" s="72">
        <f>8+30+12+30</f>
        <v>80</v>
      </c>
      <c r="R768" s="72">
        <f>20+50+30</f>
        <v>100</v>
      </c>
      <c r="S768" s="72">
        <f>10+100</f>
        <v>110</v>
      </c>
      <c r="T768" s="72">
        <f>10+10+8+30+300+10</f>
        <v>368</v>
      </c>
      <c r="U768" s="72">
        <f>+Tabla1[[#This Row],[STOCK    FISICO ENERO 2021]]-Tabla1[[#This Row],[REQUISICIONES FEBRERO 2021]]</f>
        <v>6693</v>
      </c>
      <c r="V768" s="72">
        <f>+Tabla1[[#This Row],[STOCK  FEBRERO 2021]]-Tabla1[[#This Row],[REQUISICIONES MARZO 2021]]+Tabla1[[#This Row],[ENTRADAS MARZO 2021]]</f>
        <v>6613</v>
      </c>
      <c r="W768" s="72">
        <f>+Tabla1[[#This Row],[STOCK MARZO 2021]]-Tabla1[[#This Row],[REQUISICIONES ABRIL 2021]]+Tabla1[[#This Row],[ENTRADAS ABRIL 2021]]</f>
        <v>6513</v>
      </c>
      <c r="X768" s="72">
        <f>+Tabla1[[#This Row],[STOCK ABRIL 2021]]-Tabla1[[#This Row],[REQUISICIONES MAYO 2021]]+Tabla1[[#This Row],[ENTRADAS MAYO 2021]]</f>
        <v>6403</v>
      </c>
      <c r="Y768" s="72">
        <f>+Tabla1[[#This Row],[STOCK MAYO 2021]]-Tabla1[[#This Row],[REQUISICIONES JUNIO 2021]]+Tabla1[[#This Row],[ENTRADAS JUNIO 2021]]</f>
        <v>6035</v>
      </c>
      <c r="Z768" s="73" t="s">
        <v>12</v>
      </c>
      <c r="AA768" s="76">
        <v>0.61</v>
      </c>
      <c r="AB768" s="35">
        <f t="shared" ref="AB768:AB777" si="33">AA768*0.18+AA768</f>
        <v>0.7198</v>
      </c>
      <c r="AC768" s="93">
        <f>Tabla1[[#This Row],[STOCK JUNIO ]]*Tabla1[[#This Row],[COSTO UNITARIO SIN ITBIS]]</f>
        <v>3681.35</v>
      </c>
    </row>
    <row r="769" spans="1:29" s="8" customFormat="1" x14ac:dyDescent="0.25">
      <c r="A769" s="266">
        <v>104</v>
      </c>
      <c r="B769" s="74">
        <v>44026</v>
      </c>
      <c r="C769" s="28" t="s">
        <v>11</v>
      </c>
      <c r="D769" s="74">
        <v>44026</v>
      </c>
      <c r="E769" s="145"/>
      <c r="F769" s="28">
        <v>1235</v>
      </c>
      <c r="G769" s="32" t="s">
        <v>560</v>
      </c>
      <c r="H769" s="63">
        <v>4209</v>
      </c>
      <c r="I769" s="63">
        <f>10+20</f>
        <v>30</v>
      </c>
      <c r="J769" s="63">
        <f>+'INVENTARIO ABRIL-JUNIO 2021'!$H769-'INVENTARIO ABRIL-JUNIO 2021'!$I769</f>
        <v>4179</v>
      </c>
      <c r="K769" s="63"/>
      <c r="L769" s="63"/>
      <c r="M769" s="63"/>
      <c r="N769" s="63"/>
      <c r="O769" s="125"/>
      <c r="P769" s="63">
        <v>6</v>
      </c>
      <c r="Q769" s="63">
        <v>2</v>
      </c>
      <c r="R769" s="63">
        <f>12+50+60+10</f>
        <v>132</v>
      </c>
      <c r="S769" s="63">
        <f>10+5+50+50</f>
        <v>115</v>
      </c>
      <c r="T769" s="63">
        <f>50+30+10+12</f>
        <v>102</v>
      </c>
      <c r="U769" s="63">
        <f>+Tabla1[[#This Row],[STOCK    FISICO ENERO 2021]]-Tabla1[[#This Row],[REQUISICIONES FEBRERO 2021]]</f>
        <v>4173</v>
      </c>
      <c r="V769" s="63">
        <f>+Tabla1[[#This Row],[STOCK  FEBRERO 2021]]-Tabla1[[#This Row],[REQUISICIONES MARZO 2021]]+Tabla1[[#This Row],[ENTRADAS MARZO 2021]]</f>
        <v>4171</v>
      </c>
      <c r="W769" s="63">
        <f>+Tabla1[[#This Row],[STOCK MARZO 2021]]-Tabla1[[#This Row],[REQUISICIONES ABRIL 2021]]+Tabla1[[#This Row],[ENTRADAS ABRIL 2021]]</f>
        <v>4039</v>
      </c>
      <c r="X769" s="63">
        <f>+Tabla1[[#This Row],[STOCK ABRIL 2021]]-Tabla1[[#This Row],[REQUISICIONES MAYO 2021]]+Tabla1[[#This Row],[ENTRADAS MAYO 2021]]</f>
        <v>3924</v>
      </c>
      <c r="Y769" s="63">
        <f>+Tabla1[[#This Row],[STOCK MAYO 2021]]-Tabla1[[#This Row],[REQUISICIONES JUNIO 2021]]+Tabla1[[#This Row],[ENTRADAS JUNIO 2021]]</f>
        <v>3822</v>
      </c>
      <c r="Z769" s="73" t="s">
        <v>12</v>
      </c>
      <c r="AA769" s="34">
        <v>0.45</v>
      </c>
      <c r="AB769" s="35">
        <f t="shared" si="33"/>
        <v>0.53100000000000003</v>
      </c>
      <c r="AC769" s="93">
        <f>Tabla1[[#This Row],[STOCK JUNIO ]]*Tabla1[[#This Row],[COSTO UNITARIO SIN ITBIS]]</f>
        <v>1719.9</v>
      </c>
    </row>
    <row r="770" spans="1:29" s="8" customFormat="1" x14ac:dyDescent="0.25">
      <c r="A770" s="266">
        <v>105</v>
      </c>
      <c r="B770" s="31">
        <v>43453</v>
      </c>
      <c r="C770" s="28" t="s">
        <v>11</v>
      </c>
      <c r="D770" s="31">
        <v>43453</v>
      </c>
      <c r="E770" s="137"/>
      <c r="F770" s="13">
        <v>1530</v>
      </c>
      <c r="G770" s="75" t="s">
        <v>561</v>
      </c>
      <c r="H770" s="72">
        <v>1560</v>
      </c>
      <c r="I770" s="72"/>
      <c r="J770" s="72">
        <f>+'INVENTARIO ABRIL-JUNIO 2021'!$H770-'INVENTARIO ABRIL-JUNIO 2021'!$I770</f>
        <v>1560</v>
      </c>
      <c r="K770" s="72"/>
      <c r="L770" s="72"/>
      <c r="M770" s="72"/>
      <c r="N770" s="72"/>
      <c r="O770" s="296"/>
      <c r="P770" s="72"/>
      <c r="Q770" s="72">
        <v>10</v>
      </c>
      <c r="R770" s="72">
        <f>100+20</f>
        <v>120</v>
      </c>
      <c r="S770" s="72"/>
      <c r="T770" s="72">
        <f>200+100</f>
        <v>300</v>
      </c>
      <c r="U770" s="72">
        <f>+Tabla1[[#This Row],[STOCK    FISICO ENERO 2021]]-Tabla1[[#This Row],[REQUISICIONES FEBRERO 2021]]</f>
        <v>1560</v>
      </c>
      <c r="V770" s="72">
        <f>+Tabla1[[#This Row],[STOCK  FEBRERO 2021]]-Tabla1[[#This Row],[REQUISICIONES MARZO 2021]]+Tabla1[[#This Row],[ENTRADAS MARZO 2021]]</f>
        <v>1550</v>
      </c>
      <c r="W770" s="72">
        <f>+Tabla1[[#This Row],[STOCK MARZO 2021]]-Tabla1[[#This Row],[REQUISICIONES ABRIL 2021]]+Tabla1[[#This Row],[ENTRADAS ABRIL 2021]]</f>
        <v>1430</v>
      </c>
      <c r="X770" s="72">
        <f>+Tabla1[[#This Row],[STOCK ABRIL 2021]]-Tabla1[[#This Row],[REQUISICIONES MAYO 2021]]+Tabla1[[#This Row],[ENTRADAS MAYO 2021]]</f>
        <v>1430</v>
      </c>
      <c r="Y770" s="72">
        <f>+Tabla1[[#This Row],[STOCK MAYO 2021]]-Tabla1[[#This Row],[REQUISICIONES JUNIO 2021]]+Tabla1[[#This Row],[ENTRADAS JUNIO 2021]]</f>
        <v>1130</v>
      </c>
      <c r="Z770" s="73" t="s">
        <v>12</v>
      </c>
      <c r="AA770" s="76">
        <v>1.6</v>
      </c>
      <c r="AB770" s="35">
        <f t="shared" si="33"/>
        <v>1.8880000000000001</v>
      </c>
      <c r="AC770" s="93">
        <f>Tabla1[[#This Row],[STOCK JUNIO ]]*Tabla1[[#This Row],[COSTO UNITARIO SIN ITBIS]]</f>
        <v>1808</v>
      </c>
    </row>
    <row r="771" spans="1:29" s="8" customFormat="1" x14ac:dyDescent="0.25">
      <c r="A771" s="266">
        <v>106</v>
      </c>
      <c r="B771" s="74">
        <v>43223</v>
      </c>
      <c r="C771" s="28" t="s">
        <v>11</v>
      </c>
      <c r="D771" s="74">
        <v>43223</v>
      </c>
      <c r="E771" s="145"/>
      <c r="F771" s="28">
        <v>1529</v>
      </c>
      <c r="G771" s="32" t="s">
        <v>562</v>
      </c>
      <c r="H771" s="63">
        <v>0</v>
      </c>
      <c r="I771" s="63"/>
      <c r="J771" s="63">
        <f>+'INVENTARIO ABRIL-JUNIO 2021'!$H771-'INVENTARIO ABRIL-JUNIO 2021'!$I771</f>
        <v>0</v>
      </c>
      <c r="K771" s="63"/>
      <c r="L771" s="63"/>
      <c r="M771" s="63"/>
      <c r="N771" s="63"/>
      <c r="O771" s="125"/>
      <c r="P771" s="63"/>
      <c r="Q771" s="63"/>
      <c r="R771" s="63"/>
      <c r="S771" s="63"/>
      <c r="T771" s="63"/>
      <c r="U771" s="63">
        <f>+Tabla1[[#This Row],[STOCK    FISICO ENERO 2021]]-Tabla1[[#This Row],[REQUISICIONES FEBRERO 2021]]</f>
        <v>0</v>
      </c>
      <c r="V771" s="63">
        <f>+Tabla1[[#This Row],[STOCK  FEBRERO 2021]]-Tabla1[[#This Row],[REQUISICIONES MARZO 2021]]+Tabla1[[#This Row],[ENTRADAS MARZO 2021]]</f>
        <v>0</v>
      </c>
      <c r="W771" s="63">
        <f>+Tabla1[[#This Row],[STOCK MARZO 2021]]-Tabla1[[#This Row],[REQUISICIONES ABRIL 2021]]+Tabla1[[#This Row],[ENTRADAS ABRIL 2021]]</f>
        <v>0</v>
      </c>
      <c r="X771" s="63">
        <f>+Tabla1[[#This Row],[STOCK ABRIL 2021]]-Tabla1[[#This Row],[REQUISICIONES MAYO 2021]]+Tabla1[[#This Row],[ENTRADAS MAYO 2021]]</f>
        <v>0</v>
      </c>
      <c r="Y771" s="63">
        <f>+Tabla1[[#This Row],[STOCK MAYO 2021]]-Tabla1[[#This Row],[REQUISICIONES JUNIO 2021]]+Tabla1[[#This Row],[ENTRADAS JUNIO 2021]]</f>
        <v>0</v>
      </c>
      <c r="Z771" s="73" t="s">
        <v>12</v>
      </c>
      <c r="AA771" s="34">
        <v>1.2</v>
      </c>
      <c r="AB771" s="35">
        <f t="shared" si="33"/>
        <v>1.4159999999999999</v>
      </c>
      <c r="AC771" s="93">
        <f>Tabla1[[#This Row],[STOCK JUNIO ]]*Tabla1[[#This Row],[COSTO UNITARIO SIN ITBIS]]</f>
        <v>0</v>
      </c>
    </row>
    <row r="772" spans="1:29" s="8" customFormat="1" x14ac:dyDescent="0.25">
      <c r="A772" s="266">
        <v>107</v>
      </c>
      <c r="B772" s="31">
        <v>44168</v>
      </c>
      <c r="C772" s="28" t="s">
        <v>11</v>
      </c>
      <c r="D772" s="31">
        <v>44154</v>
      </c>
      <c r="E772" s="137"/>
      <c r="F772" s="13">
        <v>1528</v>
      </c>
      <c r="G772" s="75" t="s">
        <v>563</v>
      </c>
      <c r="H772" s="72">
        <v>5918</v>
      </c>
      <c r="I772" s="72"/>
      <c r="J772" s="72">
        <f>+'INVENTARIO ABRIL-JUNIO 2021'!$H772-'INVENTARIO ABRIL-JUNIO 2021'!$I772</f>
        <v>5918</v>
      </c>
      <c r="K772" s="72"/>
      <c r="L772" s="72"/>
      <c r="M772" s="72"/>
      <c r="N772" s="72"/>
      <c r="O772" s="296"/>
      <c r="P772" s="72">
        <v>24</v>
      </c>
      <c r="Q772" s="72">
        <f>24+20+24+120</f>
        <v>188</v>
      </c>
      <c r="R772" s="72">
        <f>100+20+10</f>
        <v>130</v>
      </c>
      <c r="S772" s="72">
        <f>300+200+100</f>
        <v>600</v>
      </c>
      <c r="T772" s="72"/>
      <c r="U772" s="72">
        <f>+Tabla1[[#This Row],[STOCK    FISICO ENERO 2021]]-Tabla1[[#This Row],[REQUISICIONES FEBRERO 2021]]</f>
        <v>5894</v>
      </c>
      <c r="V772" s="72">
        <f>+Tabla1[[#This Row],[STOCK  FEBRERO 2021]]-Tabla1[[#This Row],[REQUISICIONES MARZO 2021]]+Tabla1[[#This Row],[ENTRADAS MARZO 2021]]</f>
        <v>5706</v>
      </c>
      <c r="W772" s="72">
        <f>+Tabla1[[#This Row],[STOCK MARZO 2021]]-Tabla1[[#This Row],[REQUISICIONES ABRIL 2021]]+Tabla1[[#This Row],[ENTRADAS ABRIL 2021]]</f>
        <v>5576</v>
      </c>
      <c r="X772" s="72">
        <f>+Tabla1[[#This Row],[STOCK ABRIL 2021]]-Tabla1[[#This Row],[REQUISICIONES MAYO 2021]]+Tabla1[[#This Row],[ENTRADAS MAYO 2021]]</f>
        <v>4976</v>
      </c>
      <c r="Y772" s="72">
        <f>+Tabla1[[#This Row],[STOCK MAYO 2021]]-Tabla1[[#This Row],[REQUISICIONES JUNIO 2021]]+Tabla1[[#This Row],[ENTRADAS JUNIO 2021]]</f>
        <v>4976</v>
      </c>
      <c r="Z772" s="73" t="s">
        <v>12</v>
      </c>
      <c r="AA772" s="76">
        <v>1.2</v>
      </c>
      <c r="AB772" s="35">
        <f t="shared" si="33"/>
        <v>1.4159999999999999</v>
      </c>
      <c r="AC772" s="93">
        <f>Tabla1[[#This Row],[STOCK JUNIO ]]*Tabla1[[#This Row],[COSTO UNITARIO SIN ITBIS]]</f>
        <v>5971.2</v>
      </c>
    </row>
    <row r="773" spans="1:29" s="8" customFormat="1" x14ac:dyDescent="0.25">
      <c r="A773" s="266">
        <v>108</v>
      </c>
      <c r="B773" s="31">
        <v>44168</v>
      </c>
      <c r="C773" s="28" t="s">
        <v>11</v>
      </c>
      <c r="D773" s="31">
        <v>44154</v>
      </c>
      <c r="E773" s="137"/>
      <c r="F773" s="28">
        <v>1531</v>
      </c>
      <c r="G773" s="32" t="s">
        <v>564</v>
      </c>
      <c r="H773" s="63">
        <v>1877</v>
      </c>
      <c r="I773" s="63"/>
      <c r="J773" s="63">
        <f>+'INVENTARIO ABRIL-JUNIO 2021'!$H773-'INVENTARIO ABRIL-JUNIO 2021'!$I773</f>
        <v>1877</v>
      </c>
      <c r="K773" s="63"/>
      <c r="L773" s="63"/>
      <c r="M773" s="63"/>
      <c r="N773" s="63"/>
      <c r="O773" s="125"/>
      <c r="P773" s="63"/>
      <c r="Q773" s="63"/>
      <c r="R773" s="63">
        <v>12</v>
      </c>
      <c r="S773" s="63"/>
      <c r="T773" s="63">
        <v>100</v>
      </c>
      <c r="U773" s="63">
        <f>+Tabla1[[#This Row],[STOCK    FISICO ENERO 2021]]-Tabla1[[#This Row],[REQUISICIONES FEBRERO 2021]]</f>
        <v>1877</v>
      </c>
      <c r="V773" s="63">
        <f>+Tabla1[[#This Row],[STOCK  FEBRERO 2021]]-Tabla1[[#This Row],[REQUISICIONES MARZO 2021]]+Tabla1[[#This Row],[ENTRADAS MARZO 2021]]</f>
        <v>1877</v>
      </c>
      <c r="W773" s="63">
        <f>+Tabla1[[#This Row],[STOCK MARZO 2021]]-Tabla1[[#This Row],[REQUISICIONES ABRIL 2021]]+Tabla1[[#This Row],[ENTRADAS ABRIL 2021]]</f>
        <v>1865</v>
      </c>
      <c r="X773" s="63">
        <f>+Tabla1[[#This Row],[STOCK ABRIL 2021]]-Tabla1[[#This Row],[REQUISICIONES MAYO 2021]]+Tabla1[[#This Row],[ENTRADAS MAYO 2021]]</f>
        <v>1865</v>
      </c>
      <c r="Y773" s="63">
        <f>+Tabla1[[#This Row],[STOCK MAYO 2021]]-Tabla1[[#This Row],[REQUISICIONES JUNIO 2021]]+Tabla1[[#This Row],[ENTRADAS JUNIO 2021]]</f>
        <v>1765</v>
      </c>
      <c r="Z773" s="73" t="s">
        <v>12</v>
      </c>
      <c r="AA773" s="34">
        <v>1.55</v>
      </c>
      <c r="AB773" s="35">
        <f t="shared" si="33"/>
        <v>1.829</v>
      </c>
      <c r="AC773" s="93">
        <f>Tabla1[[#This Row],[STOCK JUNIO ]]*Tabla1[[#This Row],[COSTO UNITARIO SIN ITBIS]]</f>
        <v>2735.75</v>
      </c>
    </row>
    <row r="774" spans="1:29" s="8" customFormat="1" x14ac:dyDescent="0.25">
      <c r="A774" s="266">
        <v>109</v>
      </c>
      <c r="B774" s="31">
        <v>44168</v>
      </c>
      <c r="C774" s="28" t="s">
        <v>11</v>
      </c>
      <c r="D774" s="31">
        <v>44154</v>
      </c>
      <c r="E774" s="137"/>
      <c r="F774" s="13">
        <v>1532</v>
      </c>
      <c r="G774" s="75" t="s">
        <v>565</v>
      </c>
      <c r="H774" s="72">
        <v>1886</v>
      </c>
      <c r="I774" s="72"/>
      <c r="J774" s="72">
        <f>+'INVENTARIO ABRIL-JUNIO 2021'!$H774-'INVENTARIO ABRIL-JUNIO 2021'!$I774</f>
        <v>1886</v>
      </c>
      <c r="K774" s="72"/>
      <c r="L774" s="72"/>
      <c r="M774" s="72"/>
      <c r="N774" s="72"/>
      <c r="O774" s="296"/>
      <c r="P774" s="72"/>
      <c r="Q774" s="72"/>
      <c r="R774" s="72">
        <v>8</v>
      </c>
      <c r="S774" s="72">
        <f>10+20</f>
        <v>30</v>
      </c>
      <c r="T774" s="72">
        <f>20+100</f>
        <v>120</v>
      </c>
      <c r="U774" s="72">
        <f>+Tabla1[[#This Row],[STOCK    FISICO ENERO 2021]]-Tabla1[[#This Row],[REQUISICIONES FEBRERO 2021]]</f>
        <v>1886</v>
      </c>
      <c r="V774" s="72">
        <f>+Tabla1[[#This Row],[STOCK  FEBRERO 2021]]-Tabla1[[#This Row],[REQUISICIONES MARZO 2021]]+Tabla1[[#This Row],[ENTRADAS MARZO 2021]]</f>
        <v>1886</v>
      </c>
      <c r="W774" s="72">
        <f>+Tabla1[[#This Row],[STOCK MARZO 2021]]-Tabla1[[#This Row],[REQUISICIONES ABRIL 2021]]+Tabla1[[#This Row],[ENTRADAS ABRIL 2021]]</f>
        <v>1878</v>
      </c>
      <c r="X774" s="72">
        <f>+Tabla1[[#This Row],[STOCK ABRIL 2021]]-Tabla1[[#This Row],[REQUISICIONES MAYO 2021]]+Tabla1[[#This Row],[ENTRADAS MAYO 2021]]</f>
        <v>1848</v>
      </c>
      <c r="Y774" s="72">
        <f>+Tabla1[[#This Row],[STOCK MAYO 2021]]-Tabla1[[#This Row],[REQUISICIONES JUNIO 2021]]+Tabla1[[#This Row],[ENTRADAS JUNIO 2021]]</f>
        <v>1728</v>
      </c>
      <c r="Z774" s="73" t="s">
        <v>12</v>
      </c>
      <c r="AA774" s="76">
        <v>2.2000000000000002</v>
      </c>
      <c r="AB774" s="35">
        <f t="shared" si="33"/>
        <v>2.5960000000000001</v>
      </c>
      <c r="AC774" s="93">
        <f>Tabla1[[#This Row],[STOCK JUNIO ]]*Tabla1[[#This Row],[COSTO UNITARIO SIN ITBIS]]</f>
        <v>3801.6000000000004</v>
      </c>
    </row>
    <row r="775" spans="1:29" s="8" customFormat="1" x14ac:dyDescent="0.25">
      <c r="A775" s="266">
        <v>110</v>
      </c>
      <c r="B775" s="74">
        <v>44026</v>
      </c>
      <c r="C775" s="28" t="s">
        <v>11</v>
      </c>
      <c r="D775" s="74">
        <v>44026</v>
      </c>
      <c r="E775" s="145"/>
      <c r="F775" s="13">
        <v>1795</v>
      </c>
      <c r="G775" s="75" t="s">
        <v>679</v>
      </c>
      <c r="H775" s="72">
        <v>50</v>
      </c>
      <c r="I775" s="72"/>
      <c r="J775" s="72">
        <f>+'INVENTARIO ABRIL-JUNIO 2021'!$H775-'INVENTARIO ABRIL-JUNIO 2021'!$I775</f>
        <v>50</v>
      </c>
      <c r="K775" s="72"/>
      <c r="L775" s="72"/>
      <c r="M775" s="72"/>
      <c r="N775" s="72"/>
      <c r="O775" s="296"/>
      <c r="P775" s="72"/>
      <c r="Q775" s="72"/>
      <c r="R775" s="72"/>
      <c r="S775" s="72"/>
      <c r="T775" s="72"/>
      <c r="U775" s="72">
        <f>+Tabla1[[#This Row],[STOCK    FISICO ENERO 2021]]-Tabla1[[#This Row],[REQUISICIONES FEBRERO 2021]]</f>
        <v>50</v>
      </c>
      <c r="V775" s="72">
        <f>+Tabla1[[#This Row],[STOCK  FEBRERO 2021]]-Tabla1[[#This Row],[REQUISICIONES MARZO 2021]]+Tabla1[[#This Row],[ENTRADAS MARZO 2021]]</f>
        <v>50</v>
      </c>
      <c r="W775" s="72">
        <f>+Tabla1[[#This Row],[STOCK MARZO 2021]]-Tabla1[[#This Row],[REQUISICIONES ABRIL 2021]]+Tabla1[[#This Row],[ENTRADAS ABRIL 2021]]</f>
        <v>50</v>
      </c>
      <c r="X775" s="72">
        <f>+Tabla1[[#This Row],[STOCK ABRIL 2021]]-Tabla1[[#This Row],[REQUISICIONES MAYO 2021]]+Tabla1[[#This Row],[ENTRADAS MAYO 2021]]</f>
        <v>50</v>
      </c>
      <c r="Y775" s="72">
        <f>+Tabla1[[#This Row],[STOCK MAYO 2021]]-Tabla1[[#This Row],[REQUISICIONES JUNIO 2021]]+Tabla1[[#This Row],[ENTRADAS JUNIO 2021]]</f>
        <v>50</v>
      </c>
      <c r="Z775" s="73" t="s">
        <v>105</v>
      </c>
      <c r="AA775" s="76">
        <v>590.4</v>
      </c>
      <c r="AB775" s="35">
        <f t="shared" si="33"/>
        <v>696.67200000000003</v>
      </c>
      <c r="AC775" s="93">
        <f>Tabla1[[#This Row],[STOCK JUNIO ]]*Tabla1[[#This Row],[COSTO UNITARIO SIN ITBIS]]</f>
        <v>29520</v>
      </c>
    </row>
    <row r="776" spans="1:29" s="8" customFormat="1" x14ac:dyDescent="0.25">
      <c r="A776" s="266">
        <v>111</v>
      </c>
      <c r="B776" s="31">
        <v>44168</v>
      </c>
      <c r="C776" s="28" t="s">
        <v>11</v>
      </c>
      <c r="D776" s="31">
        <v>44154</v>
      </c>
      <c r="E776" s="137"/>
      <c r="F776" s="13"/>
      <c r="G776" s="32" t="s">
        <v>627</v>
      </c>
      <c r="H776" s="72">
        <v>33</v>
      </c>
      <c r="I776" s="72"/>
      <c r="J776" s="72">
        <f>+'INVENTARIO ABRIL-JUNIO 2021'!$H776-'INVENTARIO ABRIL-JUNIO 2021'!$I776</f>
        <v>33</v>
      </c>
      <c r="K776" s="72"/>
      <c r="L776" s="72"/>
      <c r="M776" s="72"/>
      <c r="N776" s="72"/>
      <c r="O776" s="296"/>
      <c r="P776" s="72"/>
      <c r="Q776" s="72"/>
      <c r="R776" s="72"/>
      <c r="S776" s="72"/>
      <c r="T776" s="72"/>
      <c r="U776" s="72">
        <f>+Tabla1[[#This Row],[STOCK    FISICO ENERO 2021]]-Tabla1[[#This Row],[REQUISICIONES FEBRERO 2021]]</f>
        <v>33</v>
      </c>
      <c r="V776" s="72">
        <f>+Tabla1[[#This Row],[STOCK  FEBRERO 2021]]-Tabla1[[#This Row],[REQUISICIONES MARZO 2021]]+Tabla1[[#This Row],[ENTRADAS MARZO 2021]]</f>
        <v>33</v>
      </c>
      <c r="W776" s="72">
        <f>+Tabla1[[#This Row],[STOCK MARZO 2021]]-Tabla1[[#This Row],[REQUISICIONES ABRIL 2021]]+Tabla1[[#This Row],[ENTRADAS ABRIL 2021]]</f>
        <v>33</v>
      </c>
      <c r="X776" s="72">
        <f>+Tabla1[[#This Row],[STOCK ABRIL 2021]]-Tabla1[[#This Row],[REQUISICIONES MAYO 2021]]+Tabla1[[#This Row],[ENTRADAS MAYO 2021]]</f>
        <v>33</v>
      </c>
      <c r="Y776" s="72">
        <f>+Tabla1[[#This Row],[STOCK MAYO 2021]]-Tabla1[[#This Row],[REQUISICIONES JUNIO 2021]]+Tabla1[[#This Row],[ENTRADAS JUNIO 2021]]</f>
        <v>33</v>
      </c>
      <c r="Z776" s="73" t="s">
        <v>105</v>
      </c>
      <c r="AA776" s="76">
        <v>8</v>
      </c>
      <c r="AB776" s="35">
        <f t="shared" si="33"/>
        <v>9.44</v>
      </c>
      <c r="AC776" s="93">
        <f>Tabla1[[#This Row],[STOCK JUNIO ]]*Tabla1[[#This Row],[COSTO UNITARIO SIN ITBIS]]</f>
        <v>264</v>
      </c>
    </row>
    <row r="777" spans="1:29" s="8" customFormat="1" x14ac:dyDescent="0.25">
      <c r="A777" s="266">
        <v>112</v>
      </c>
      <c r="B777" s="31">
        <v>44168</v>
      </c>
      <c r="C777" s="28" t="s">
        <v>11</v>
      </c>
      <c r="D777" s="31">
        <v>44154</v>
      </c>
      <c r="E777" s="137"/>
      <c r="F777" s="28" t="s">
        <v>20</v>
      </c>
      <c r="G777" s="32" t="s">
        <v>566</v>
      </c>
      <c r="H777" s="63">
        <v>3</v>
      </c>
      <c r="I777" s="63"/>
      <c r="J777" s="63">
        <f>+'INVENTARIO ABRIL-JUNIO 2021'!$H777-'INVENTARIO ABRIL-JUNIO 2021'!$I777</f>
        <v>3</v>
      </c>
      <c r="K777" s="63"/>
      <c r="L777" s="63"/>
      <c r="M777" s="63"/>
      <c r="N777" s="63"/>
      <c r="O777" s="125"/>
      <c r="P777" s="63">
        <v>1</v>
      </c>
      <c r="Q777" s="63"/>
      <c r="R777" s="63"/>
      <c r="S777" s="63"/>
      <c r="T777" s="63"/>
      <c r="U777" s="63">
        <f>+Tabla1[[#This Row],[STOCK    FISICO ENERO 2021]]-Tabla1[[#This Row],[REQUISICIONES FEBRERO 2021]]</f>
        <v>2</v>
      </c>
      <c r="V777" s="63">
        <f>+Tabla1[[#This Row],[STOCK  FEBRERO 2021]]-Tabla1[[#This Row],[REQUISICIONES MARZO 2021]]+Tabla1[[#This Row],[ENTRADAS MARZO 2021]]</f>
        <v>2</v>
      </c>
      <c r="W777" s="63">
        <f>+Tabla1[[#This Row],[STOCK MARZO 2021]]-Tabla1[[#This Row],[REQUISICIONES ABRIL 2021]]+Tabla1[[#This Row],[ENTRADAS ABRIL 2021]]</f>
        <v>2</v>
      </c>
      <c r="X777" s="63">
        <f>+Tabla1[[#This Row],[STOCK ABRIL 2021]]-Tabla1[[#This Row],[REQUISICIONES MAYO 2021]]+Tabla1[[#This Row],[ENTRADAS MAYO 2021]]</f>
        <v>2</v>
      </c>
      <c r="Y777" s="63">
        <f>+Tabla1[[#This Row],[STOCK MAYO 2021]]-Tabla1[[#This Row],[REQUISICIONES JUNIO 2021]]+Tabla1[[#This Row],[ENTRADAS JUNIO 2021]]</f>
        <v>2</v>
      </c>
      <c r="Z777" s="73" t="s">
        <v>12</v>
      </c>
      <c r="AA777" s="34">
        <v>560</v>
      </c>
      <c r="AB777" s="35">
        <f t="shared" si="33"/>
        <v>660.8</v>
      </c>
      <c r="AC777" s="93">
        <f>Tabla1[[#This Row],[STOCK JUNIO ]]*Tabla1[[#This Row],[COSTO UNITARIO SIN ITBIS]]</f>
        <v>1120</v>
      </c>
    </row>
    <row r="778" spans="1:29" s="8" customFormat="1" ht="24.75" thickBot="1" x14ac:dyDescent="0.3">
      <c r="A778" s="57"/>
      <c r="B778" s="56"/>
      <c r="C778" s="28"/>
      <c r="D778" s="55"/>
      <c r="E778" s="141"/>
      <c r="F778" s="56"/>
      <c r="G778" s="56"/>
      <c r="H778" s="57"/>
      <c r="I778" s="57"/>
      <c r="J778" s="57">
        <f>+'INVENTARIO ABRIL-JUNIO 2021'!$H778-'INVENTARIO ABRIL-JUNIO 2021'!$I778</f>
        <v>0</v>
      </c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6"/>
      <c r="AA778" s="58"/>
      <c r="AB778" s="58" t="s">
        <v>716</v>
      </c>
      <c r="AC778" s="95">
        <f>SUM(AC666:AC777)</f>
        <v>189670.04</v>
      </c>
    </row>
    <row r="779" spans="1:29" s="8" customFormat="1" ht="15.75" thickTop="1" x14ac:dyDescent="0.25">
      <c r="A779" s="262" t="s">
        <v>567</v>
      </c>
      <c r="B779" s="61"/>
      <c r="C779" s="60"/>
      <c r="D779" s="60"/>
      <c r="E779" s="96"/>
      <c r="F779" s="61"/>
      <c r="G779" s="61"/>
      <c r="H779" s="61"/>
      <c r="I779" s="61"/>
      <c r="J779" s="61"/>
      <c r="K779" s="61"/>
      <c r="L779" s="61"/>
      <c r="M779" s="61"/>
      <c r="N779" s="61"/>
      <c r="O779" s="262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96"/>
    </row>
    <row r="780" spans="1:29" s="8" customFormat="1" x14ac:dyDescent="0.25">
      <c r="A780" s="265">
        <v>1</v>
      </c>
      <c r="B780" s="74"/>
      <c r="C780" s="28" t="s">
        <v>11</v>
      </c>
      <c r="D780" s="74"/>
      <c r="E780" s="145"/>
      <c r="F780" s="28"/>
      <c r="G780" s="32" t="s">
        <v>685</v>
      </c>
      <c r="H780" s="63">
        <v>13</v>
      </c>
      <c r="I780" s="63"/>
      <c r="J780" s="63">
        <f>+'INVENTARIO ABRIL-JUNIO 2021'!$H780-'INVENTARIO ABRIL-JUNIO 2021'!$I780</f>
        <v>13</v>
      </c>
      <c r="K780" s="63"/>
      <c r="L780" s="63"/>
      <c r="M780" s="63"/>
      <c r="N780" s="63"/>
      <c r="O780" s="125"/>
      <c r="P780" s="63">
        <v>1</v>
      </c>
      <c r="Q780" s="63">
        <f>10+1</f>
        <v>11</v>
      </c>
      <c r="R780" s="63">
        <v>1</v>
      </c>
      <c r="S780" s="63"/>
      <c r="T780" s="63"/>
      <c r="U780" s="63">
        <f>+Tabla1[[#This Row],[STOCK    FISICO ENERO 2021]]-Tabla1[[#This Row],[REQUISICIONES FEBRERO 2021]]</f>
        <v>12</v>
      </c>
      <c r="V780" s="63">
        <f>+Tabla1[[#This Row],[STOCK  FEBRERO 2021]]-Tabla1[[#This Row],[REQUISICIONES MARZO 2021]]+Tabla1[[#This Row],[ENTRADAS MARZO 2021]]</f>
        <v>1</v>
      </c>
      <c r="W780" s="63">
        <f>+Tabla1[[#This Row],[STOCK MARZO 2021]]-Tabla1[[#This Row],[REQUISICIONES ABRIL 2021]]+Tabla1[[#This Row],[ENTRADAS ABRIL 2021]]</f>
        <v>0</v>
      </c>
      <c r="X780" s="63">
        <f>+Tabla1[[#This Row],[STOCK ABRIL 2021]]-Tabla1[[#This Row],[REQUISICIONES MAYO 2021]]+Tabla1[[#This Row],[ENTRADAS MAYO 2021]]</f>
        <v>0</v>
      </c>
      <c r="Y780" s="63">
        <f>+Tabla1[[#This Row],[STOCK MAYO 2021]]-Tabla1[[#This Row],[REQUISICIONES JUNIO 2021]]+Tabla1[[#This Row],[ENTRADAS JUNIO 2021]]</f>
        <v>0</v>
      </c>
      <c r="Z780" s="30" t="s">
        <v>331</v>
      </c>
      <c r="AA780" s="34">
        <v>0</v>
      </c>
      <c r="AB780" s="35">
        <f t="shared" ref="AB780:AB793" si="34">AA780*0.18+AA780</f>
        <v>0</v>
      </c>
      <c r="AC780" s="93">
        <f>Tabla1[[#This Row],[STOCK JUNIO ]]*Tabla1[[#This Row],[COSTO UNITARIO SIN ITBIS]]</f>
        <v>0</v>
      </c>
    </row>
    <row r="781" spans="1:29" s="10" customFormat="1" x14ac:dyDescent="0.25">
      <c r="A781" s="265">
        <v>2</v>
      </c>
      <c r="B781" s="31">
        <v>44169</v>
      </c>
      <c r="C781" s="28" t="s">
        <v>11</v>
      </c>
      <c r="D781" s="31">
        <v>44147</v>
      </c>
      <c r="E781" s="137"/>
      <c r="F781" s="28">
        <v>1299</v>
      </c>
      <c r="G781" s="32" t="s">
        <v>686</v>
      </c>
      <c r="H781" s="63">
        <v>2</v>
      </c>
      <c r="I781" s="63"/>
      <c r="J781" s="63">
        <f>+'INVENTARIO ABRIL-JUNIO 2021'!$H781-'INVENTARIO ABRIL-JUNIO 2021'!$I781</f>
        <v>2</v>
      </c>
      <c r="K781" s="63"/>
      <c r="L781" s="63"/>
      <c r="M781" s="63"/>
      <c r="N781" s="63"/>
      <c r="O781" s="125"/>
      <c r="P781" s="63"/>
      <c r="Q781" s="63"/>
      <c r="R781" s="63">
        <v>1</v>
      </c>
      <c r="S781" s="63"/>
      <c r="T781" s="63"/>
      <c r="U781" s="63">
        <f>+Tabla1[[#This Row],[STOCK    FISICO ENERO 2021]]-Tabla1[[#This Row],[REQUISICIONES FEBRERO 2021]]</f>
        <v>2</v>
      </c>
      <c r="V781" s="63">
        <f>+Tabla1[[#This Row],[STOCK  FEBRERO 2021]]-Tabla1[[#This Row],[REQUISICIONES MARZO 2021]]+Tabla1[[#This Row],[ENTRADAS MARZO 2021]]</f>
        <v>2</v>
      </c>
      <c r="W781" s="63">
        <f>+Tabla1[[#This Row],[STOCK MARZO 2021]]-Tabla1[[#This Row],[REQUISICIONES ABRIL 2021]]+Tabla1[[#This Row],[ENTRADAS ABRIL 2021]]</f>
        <v>1</v>
      </c>
      <c r="X781" s="63">
        <f>+Tabla1[[#This Row],[STOCK ABRIL 2021]]-Tabla1[[#This Row],[REQUISICIONES MAYO 2021]]+Tabla1[[#This Row],[ENTRADAS MAYO 2021]]</f>
        <v>1</v>
      </c>
      <c r="Y781" s="63">
        <f>+Tabla1[[#This Row],[STOCK MAYO 2021]]-Tabla1[[#This Row],[REQUISICIONES JUNIO 2021]]+Tabla1[[#This Row],[ENTRADAS JUNIO 2021]]</f>
        <v>1</v>
      </c>
      <c r="Z781" s="30" t="s">
        <v>331</v>
      </c>
      <c r="AA781" s="34">
        <v>750</v>
      </c>
      <c r="AB781" s="35">
        <f t="shared" si="34"/>
        <v>885</v>
      </c>
      <c r="AC781" s="93">
        <f>Tabla1[[#This Row],[STOCK JUNIO ]]*Tabla1[[#This Row],[COSTO UNITARIO SIN ITBIS]]</f>
        <v>750</v>
      </c>
    </row>
    <row r="782" spans="1:29" s="8" customFormat="1" x14ac:dyDescent="0.25">
      <c r="A782" s="265">
        <v>3</v>
      </c>
      <c r="B782" s="31"/>
      <c r="C782" s="28" t="s">
        <v>11</v>
      </c>
      <c r="D782" s="31"/>
      <c r="E782" s="137"/>
      <c r="F782" s="13" t="s">
        <v>20</v>
      </c>
      <c r="G782" s="75" t="s">
        <v>568</v>
      </c>
      <c r="H782" s="72">
        <v>15</v>
      </c>
      <c r="I782" s="72"/>
      <c r="J782" s="72">
        <f>+'INVENTARIO ABRIL-JUNIO 2021'!$H782-'INVENTARIO ABRIL-JUNIO 2021'!$I782</f>
        <v>15</v>
      </c>
      <c r="K782" s="72"/>
      <c r="L782" s="72"/>
      <c r="M782" s="72"/>
      <c r="N782" s="72"/>
      <c r="O782" s="296"/>
      <c r="P782" s="72"/>
      <c r="Q782" s="72"/>
      <c r="R782" s="72"/>
      <c r="S782" s="72"/>
      <c r="T782" s="72"/>
      <c r="U782" s="72">
        <f>+Tabla1[[#This Row],[STOCK    FISICO ENERO 2021]]-Tabla1[[#This Row],[REQUISICIONES FEBRERO 2021]]</f>
        <v>15</v>
      </c>
      <c r="V782" s="72">
        <f>+Tabla1[[#This Row],[STOCK  FEBRERO 2021]]-Tabla1[[#This Row],[REQUISICIONES MARZO 2021]]+Tabla1[[#This Row],[ENTRADAS MARZO 2021]]</f>
        <v>15</v>
      </c>
      <c r="W782" s="72">
        <f>+Tabla1[[#This Row],[STOCK MARZO 2021]]-Tabla1[[#This Row],[REQUISICIONES ABRIL 2021]]+Tabla1[[#This Row],[ENTRADAS ABRIL 2021]]</f>
        <v>15</v>
      </c>
      <c r="X782" s="72">
        <f>+Tabla1[[#This Row],[STOCK ABRIL 2021]]-Tabla1[[#This Row],[REQUISICIONES MAYO 2021]]+Tabla1[[#This Row],[ENTRADAS MAYO 2021]]</f>
        <v>15</v>
      </c>
      <c r="Y782" s="72">
        <f>+Tabla1[[#This Row],[STOCK MAYO 2021]]-Tabla1[[#This Row],[REQUISICIONES JUNIO 2021]]+Tabla1[[#This Row],[ENTRADAS JUNIO 2021]]</f>
        <v>15</v>
      </c>
      <c r="Z782" s="73" t="s">
        <v>105</v>
      </c>
      <c r="AA782" s="76">
        <v>142.5</v>
      </c>
      <c r="AB782" s="35">
        <f t="shared" si="34"/>
        <v>168.15</v>
      </c>
      <c r="AC782" s="93">
        <f>Tabla1[[#This Row],[STOCK JUNIO ]]*Tabla1[[#This Row],[COSTO UNITARIO SIN ITBIS]]</f>
        <v>2137.5</v>
      </c>
    </row>
    <row r="783" spans="1:29" s="8" customFormat="1" x14ac:dyDescent="0.25">
      <c r="A783" s="265">
        <v>4</v>
      </c>
      <c r="B783" s="31">
        <v>44169</v>
      </c>
      <c r="C783" s="28" t="s">
        <v>11</v>
      </c>
      <c r="D783" s="31">
        <v>44147</v>
      </c>
      <c r="E783" s="137"/>
      <c r="F783" s="13">
        <v>1742</v>
      </c>
      <c r="G783" s="75" t="s">
        <v>569</v>
      </c>
      <c r="H783" s="72">
        <v>1376</v>
      </c>
      <c r="I783" s="72"/>
      <c r="J783" s="72">
        <f>+'INVENTARIO ABRIL-JUNIO 2021'!$H783-'INVENTARIO ABRIL-JUNIO 2021'!$I783</f>
        <v>1376</v>
      </c>
      <c r="K783" s="72"/>
      <c r="L783" s="72"/>
      <c r="M783" s="72"/>
      <c r="N783" s="72"/>
      <c r="O783" s="296"/>
      <c r="P783" s="72">
        <f>40+70+2</f>
        <v>112</v>
      </c>
      <c r="Q783" s="72">
        <v>4</v>
      </c>
      <c r="R783" s="72">
        <v>35</v>
      </c>
      <c r="S783" s="72"/>
      <c r="T783" s="72">
        <f>25+17</f>
        <v>42</v>
      </c>
      <c r="U783" s="72">
        <f>+Tabla1[[#This Row],[STOCK    FISICO ENERO 2021]]-Tabla1[[#This Row],[REQUISICIONES FEBRERO 2021]]</f>
        <v>1264</v>
      </c>
      <c r="V783" s="72">
        <f>+Tabla1[[#This Row],[STOCK  FEBRERO 2021]]-Tabla1[[#This Row],[REQUISICIONES MARZO 2021]]+Tabla1[[#This Row],[ENTRADAS MARZO 2021]]</f>
        <v>1260</v>
      </c>
      <c r="W783" s="72">
        <f>+Tabla1[[#This Row],[STOCK MARZO 2021]]-Tabla1[[#This Row],[REQUISICIONES ABRIL 2021]]+Tabla1[[#This Row],[ENTRADAS ABRIL 2021]]</f>
        <v>1225</v>
      </c>
      <c r="X783" s="72">
        <f>+Tabla1[[#This Row],[STOCK ABRIL 2021]]-Tabla1[[#This Row],[REQUISICIONES MAYO 2021]]+Tabla1[[#This Row],[ENTRADAS MAYO 2021]]</f>
        <v>1225</v>
      </c>
      <c r="Y783" s="72">
        <f>+Tabla1[[#This Row],[STOCK MAYO 2021]]-Tabla1[[#This Row],[REQUISICIONES JUNIO 2021]]+Tabla1[[#This Row],[ENTRADAS JUNIO 2021]]</f>
        <v>1183</v>
      </c>
      <c r="Z783" s="73" t="s">
        <v>12</v>
      </c>
      <c r="AA783" s="76">
        <v>206.34</v>
      </c>
      <c r="AB783" s="35">
        <f t="shared" si="34"/>
        <v>243.4812</v>
      </c>
      <c r="AC783" s="93">
        <f>Tabla1[[#This Row],[STOCK JUNIO ]]*Tabla1[[#This Row],[COSTO UNITARIO SIN ITBIS]]</f>
        <v>244100.22</v>
      </c>
    </row>
    <row r="784" spans="1:29" s="8" customFormat="1" x14ac:dyDescent="0.25">
      <c r="A784" s="265">
        <v>5</v>
      </c>
      <c r="B784" s="31">
        <v>44169</v>
      </c>
      <c r="C784" s="28" t="s">
        <v>11</v>
      </c>
      <c r="D784" s="31">
        <v>44147</v>
      </c>
      <c r="E784" s="137"/>
      <c r="F784" s="28">
        <v>1330</v>
      </c>
      <c r="G784" s="75" t="s">
        <v>570</v>
      </c>
      <c r="H784" s="63">
        <v>14</v>
      </c>
      <c r="I784" s="63"/>
      <c r="J784" s="63">
        <f>+'INVENTARIO ABRIL-JUNIO 2021'!$H784-'INVENTARIO ABRIL-JUNIO 2021'!$I784</f>
        <v>14</v>
      </c>
      <c r="K784" s="63"/>
      <c r="L784" s="63"/>
      <c r="M784" s="63"/>
      <c r="N784" s="63"/>
      <c r="O784" s="125"/>
      <c r="P784" s="63"/>
      <c r="Q784" s="63"/>
      <c r="R784" s="63">
        <v>1</v>
      </c>
      <c r="S784" s="63">
        <f>1+1</f>
        <v>2</v>
      </c>
      <c r="T784" s="63"/>
      <c r="U784" s="63">
        <f>+Tabla1[[#This Row],[STOCK    FISICO ENERO 2021]]-Tabla1[[#This Row],[REQUISICIONES FEBRERO 2021]]</f>
        <v>14</v>
      </c>
      <c r="V784" s="63">
        <f>+Tabla1[[#This Row],[STOCK  FEBRERO 2021]]-Tabla1[[#This Row],[REQUISICIONES MARZO 2021]]+Tabla1[[#This Row],[ENTRADAS MARZO 2021]]</f>
        <v>14</v>
      </c>
      <c r="W784" s="63">
        <f>+Tabla1[[#This Row],[STOCK MARZO 2021]]-Tabla1[[#This Row],[REQUISICIONES ABRIL 2021]]+Tabla1[[#This Row],[ENTRADAS ABRIL 2021]]</f>
        <v>13</v>
      </c>
      <c r="X784" s="63">
        <f>+Tabla1[[#This Row],[STOCK ABRIL 2021]]-Tabla1[[#This Row],[REQUISICIONES MAYO 2021]]+Tabla1[[#This Row],[ENTRADAS MAYO 2021]]</f>
        <v>11</v>
      </c>
      <c r="Y784" s="63">
        <f>+Tabla1[[#This Row],[STOCK MAYO 2021]]-Tabla1[[#This Row],[REQUISICIONES JUNIO 2021]]+Tabla1[[#This Row],[ENTRADAS JUNIO 2021]]</f>
        <v>11</v>
      </c>
      <c r="Z784" s="30" t="s">
        <v>12</v>
      </c>
      <c r="AA784" s="34">
        <v>1455</v>
      </c>
      <c r="AB784" s="35">
        <f t="shared" si="34"/>
        <v>1716.9</v>
      </c>
      <c r="AC784" s="93">
        <f>Tabla1[[#This Row],[STOCK JUNIO ]]*Tabla1[[#This Row],[COSTO UNITARIO SIN ITBIS]]</f>
        <v>16005</v>
      </c>
    </row>
    <row r="785" spans="1:32" s="8" customFormat="1" x14ac:dyDescent="0.25">
      <c r="A785" s="265">
        <v>6</v>
      </c>
      <c r="B785" s="31">
        <v>44169</v>
      </c>
      <c r="C785" s="28" t="s">
        <v>11</v>
      </c>
      <c r="D785" s="31">
        <v>44147</v>
      </c>
      <c r="E785" s="137"/>
      <c r="F785" s="13">
        <v>1550</v>
      </c>
      <c r="G785" s="75" t="s">
        <v>626</v>
      </c>
      <c r="H785" s="72">
        <v>16</v>
      </c>
      <c r="I785" s="72"/>
      <c r="J785" s="72">
        <f>+'INVENTARIO ABRIL-JUNIO 2021'!$H785-'INVENTARIO ABRIL-JUNIO 2021'!$I785</f>
        <v>16</v>
      </c>
      <c r="K785" s="72"/>
      <c r="L785" s="72"/>
      <c r="M785" s="72"/>
      <c r="N785" s="72"/>
      <c r="O785" s="296"/>
      <c r="P785" s="72"/>
      <c r="Q785" s="72"/>
      <c r="R785" s="72">
        <v>1</v>
      </c>
      <c r="S785" s="72">
        <v>1</v>
      </c>
      <c r="T785" s="72"/>
      <c r="U785" s="72">
        <f>+Tabla1[[#This Row],[STOCK    FISICO ENERO 2021]]-Tabla1[[#This Row],[REQUISICIONES FEBRERO 2021]]</f>
        <v>16</v>
      </c>
      <c r="V785" s="72">
        <f>+Tabla1[[#This Row],[STOCK  FEBRERO 2021]]-Tabla1[[#This Row],[REQUISICIONES MARZO 2021]]+Tabla1[[#This Row],[ENTRADAS MARZO 2021]]</f>
        <v>16</v>
      </c>
      <c r="W785" s="72">
        <f>+Tabla1[[#This Row],[STOCK MARZO 2021]]-Tabla1[[#This Row],[REQUISICIONES ABRIL 2021]]+Tabla1[[#This Row],[ENTRADAS ABRIL 2021]]</f>
        <v>15</v>
      </c>
      <c r="X785" s="72">
        <f>+Tabla1[[#This Row],[STOCK ABRIL 2021]]-Tabla1[[#This Row],[REQUISICIONES MAYO 2021]]+Tabla1[[#This Row],[ENTRADAS MAYO 2021]]</f>
        <v>14</v>
      </c>
      <c r="Y785" s="72">
        <f>+Tabla1[[#This Row],[STOCK MAYO 2021]]-Tabla1[[#This Row],[REQUISICIONES JUNIO 2021]]+Tabla1[[#This Row],[ENTRADAS JUNIO 2021]]</f>
        <v>14</v>
      </c>
      <c r="Z785" s="73" t="s">
        <v>12</v>
      </c>
      <c r="AA785" s="76">
        <v>391.53</v>
      </c>
      <c r="AB785" s="35">
        <f t="shared" si="34"/>
        <v>462.00539999999995</v>
      </c>
      <c r="AC785" s="93">
        <f>Tabla1[[#This Row],[STOCK JUNIO ]]*Tabla1[[#This Row],[COSTO UNITARIO SIN ITBIS]]</f>
        <v>5481.42</v>
      </c>
    </row>
    <row r="786" spans="1:32" s="8" customFormat="1" x14ac:dyDescent="0.25">
      <c r="A786" s="265">
        <v>7</v>
      </c>
      <c r="B786" s="31"/>
      <c r="C786" s="28" t="s">
        <v>11</v>
      </c>
      <c r="D786" s="31"/>
      <c r="E786" s="137"/>
      <c r="F786" s="28">
        <v>1548</v>
      </c>
      <c r="G786" s="32" t="s">
        <v>571</v>
      </c>
      <c r="H786" s="63">
        <v>5</v>
      </c>
      <c r="I786" s="63"/>
      <c r="J786" s="63">
        <f>+'INVENTARIO ABRIL-JUNIO 2021'!$H786-'INVENTARIO ABRIL-JUNIO 2021'!$I786</f>
        <v>5</v>
      </c>
      <c r="K786" s="63"/>
      <c r="L786" s="63"/>
      <c r="M786" s="63"/>
      <c r="N786" s="63"/>
      <c r="O786" s="125"/>
      <c r="P786" s="63"/>
      <c r="Q786" s="63"/>
      <c r="R786" s="63">
        <f>1+2</f>
        <v>3</v>
      </c>
      <c r="S786" s="63">
        <f>1+1</f>
        <v>2</v>
      </c>
      <c r="T786" s="63"/>
      <c r="U786" s="63">
        <f>+Tabla1[[#This Row],[STOCK    FISICO ENERO 2021]]-Tabla1[[#This Row],[REQUISICIONES FEBRERO 2021]]</f>
        <v>5</v>
      </c>
      <c r="V786" s="63">
        <f>+Tabla1[[#This Row],[STOCK  FEBRERO 2021]]-Tabla1[[#This Row],[REQUISICIONES MARZO 2021]]+Tabla1[[#This Row],[ENTRADAS MARZO 2021]]</f>
        <v>5</v>
      </c>
      <c r="W786" s="63">
        <f>+Tabla1[[#This Row],[STOCK MARZO 2021]]-Tabla1[[#This Row],[REQUISICIONES ABRIL 2021]]+Tabla1[[#This Row],[ENTRADAS ABRIL 2021]]</f>
        <v>2</v>
      </c>
      <c r="X786" s="63">
        <f>+Tabla1[[#This Row],[STOCK ABRIL 2021]]-Tabla1[[#This Row],[REQUISICIONES MAYO 2021]]+Tabla1[[#This Row],[ENTRADAS MAYO 2021]]</f>
        <v>0</v>
      </c>
      <c r="Y786" s="63">
        <f>+Tabla1[[#This Row],[STOCK MAYO 2021]]-Tabla1[[#This Row],[REQUISICIONES JUNIO 2021]]+Tabla1[[#This Row],[ENTRADAS JUNIO 2021]]</f>
        <v>0</v>
      </c>
      <c r="Z786" s="30" t="s">
        <v>12</v>
      </c>
      <c r="AA786" s="34">
        <v>1067.8</v>
      </c>
      <c r="AB786" s="35">
        <f t="shared" si="34"/>
        <v>1260.0039999999999</v>
      </c>
      <c r="AC786" s="93">
        <f>Tabla1[[#This Row],[STOCK JUNIO ]]*Tabla1[[#This Row],[COSTO UNITARIO SIN ITBIS]]</f>
        <v>0</v>
      </c>
    </row>
    <row r="787" spans="1:32" s="8" customFormat="1" x14ac:dyDescent="0.25">
      <c r="A787" s="265">
        <v>8</v>
      </c>
      <c r="B787" s="74">
        <v>44027</v>
      </c>
      <c r="C787" s="28" t="s">
        <v>11</v>
      </c>
      <c r="D787" s="74">
        <v>44027</v>
      </c>
      <c r="E787" s="145"/>
      <c r="F787" s="13">
        <v>1551</v>
      </c>
      <c r="G787" s="75" t="s">
        <v>572</v>
      </c>
      <c r="H787" s="72">
        <v>15</v>
      </c>
      <c r="I787" s="72"/>
      <c r="J787" s="72">
        <f>+'INVENTARIO ABRIL-JUNIO 2021'!$H787-'INVENTARIO ABRIL-JUNIO 2021'!$I787</f>
        <v>15</v>
      </c>
      <c r="K787" s="72"/>
      <c r="L787" s="72"/>
      <c r="M787" s="72"/>
      <c r="N787" s="72"/>
      <c r="O787" s="296"/>
      <c r="P787" s="72"/>
      <c r="Q787" s="72"/>
      <c r="R787" s="72"/>
      <c r="S787" s="72"/>
      <c r="T787" s="72">
        <v>14</v>
      </c>
      <c r="U787" s="72">
        <f>+Tabla1[[#This Row],[STOCK    FISICO ENERO 2021]]-Tabla1[[#This Row],[REQUISICIONES FEBRERO 2021]]</f>
        <v>15</v>
      </c>
      <c r="V787" s="72">
        <f>+Tabla1[[#This Row],[STOCK  FEBRERO 2021]]-Tabla1[[#This Row],[REQUISICIONES MARZO 2021]]+Tabla1[[#This Row],[ENTRADAS MARZO 2021]]</f>
        <v>15</v>
      </c>
      <c r="W787" s="72">
        <f>+Tabla1[[#This Row],[STOCK MARZO 2021]]-Tabla1[[#This Row],[REQUISICIONES ABRIL 2021]]+Tabla1[[#This Row],[ENTRADAS ABRIL 2021]]</f>
        <v>15</v>
      </c>
      <c r="X787" s="72">
        <f>+Tabla1[[#This Row],[STOCK ABRIL 2021]]-Tabla1[[#This Row],[REQUISICIONES MAYO 2021]]+Tabla1[[#This Row],[ENTRADAS MAYO 2021]]</f>
        <v>15</v>
      </c>
      <c r="Y787" s="72">
        <f>+Tabla1[[#This Row],[STOCK MAYO 2021]]-Tabla1[[#This Row],[REQUISICIONES JUNIO 2021]]+Tabla1[[#This Row],[ENTRADAS JUNIO 2021]]</f>
        <v>1</v>
      </c>
      <c r="Z787" s="73" t="s">
        <v>12</v>
      </c>
      <c r="AA787" s="76">
        <v>417.24</v>
      </c>
      <c r="AB787" s="35">
        <f t="shared" si="34"/>
        <v>492.34320000000002</v>
      </c>
      <c r="AC787" s="93">
        <f>Tabla1[[#This Row],[STOCK JUNIO ]]*Tabla1[[#This Row],[COSTO UNITARIO SIN ITBIS]]</f>
        <v>417.24</v>
      </c>
    </row>
    <row r="788" spans="1:32" s="8" customFormat="1" x14ac:dyDescent="0.25">
      <c r="A788" s="265">
        <v>9</v>
      </c>
      <c r="B788" s="31">
        <v>44026</v>
      </c>
      <c r="C788" s="28" t="s">
        <v>11</v>
      </c>
      <c r="D788" s="31">
        <v>44026</v>
      </c>
      <c r="E788" s="137"/>
      <c r="F788" s="28"/>
      <c r="G788" s="32" t="s">
        <v>573</v>
      </c>
      <c r="H788" s="63">
        <v>0</v>
      </c>
      <c r="I788" s="63"/>
      <c r="J788" s="63">
        <f>+'INVENTARIO ABRIL-JUNIO 2021'!$H788-'INVENTARIO ABRIL-JUNIO 2021'!$I788</f>
        <v>0</v>
      </c>
      <c r="K788" s="63"/>
      <c r="L788" s="63"/>
      <c r="M788" s="63"/>
      <c r="N788" s="63"/>
      <c r="O788" s="125"/>
      <c r="P788" s="63"/>
      <c r="Q788" s="63"/>
      <c r="R788" s="63"/>
      <c r="S788" s="63"/>
      <c r="T788" s="63"/>
      <c r="U788" s="63">
        <f>+Tabla1[[#This Row],[STOCK    FISICO ENERO 2021]]-Tabla1[[#This Row],[REQUISICIONES FEBRERO 2021]]</f>
        <v>0</v>
      </c>
      <c r="V788" s="63">
        <f>+Tabla1[[#This Row],[STOCK  FEBRERO 2021]]-Tabla1[[#This Row],[REQUISICIONES MARZO 2021]]+Tabla1[[#This Row],[ENTRADAS MARZO 2021]]</f>
        <v>0</v>
      </c>
      <c r="W788" s="63">
        <f>+Tabla1[[#This Row],[STOCK MARZO 2021]]-Tabla1[[#This Row],[REQUISICIONES ABRIL 2021]]+Tabla1[[#This Row],[ENTRADAS ABRIL 2021]]</f>
        <v>0</v>
      </c>
      <c r="X788" s="63">
        <f>+Tabla1[[#This Row],[STOCK ABRIL 2021]]-Tabla1[[#This Row],[REQUISICIONES MAYO 2021]]+Tabla1[[#This Row],[ENTRADAS MAYO 2021]]</f>
        <v>0</v>
      </c>
      <c r="Y788" s="63">
        <f>+Tabla1[[#This Row],[STOCK MAYO 2021]]-Tabla1[[#This Row],[REQUISICIONES JUNIO 2021]]+Tabla1[[#This Row],[ENTRADAS JUNIO 2021]]</f>
        <v>0</v>
      </c>
      <c r="Z788" s="73" t="s">
        <v>12</v>
      </c>
      <c r="AA788" s="34">
        <v>1525</v>
      </c>
      <c r="AB788" s="35">
        <f t="shared" si="34"/>
        <v>1799.5</v>
      </c>
      <c r="AC788" s="93">
        <f>Tabla1[[#This Row],[STOCK JUNIO ]]*Tabla1[[#This Row],[COSTO UNITARIO SIN ITBIS]]</f>
        <v>0</v>
      </c>
    </row>
    <row r="789" spans="1:32" s="8" customFormat="1" x14ac:dyDescent="0.25">
      <c r="A789" s="265">
        <v>10</v>
      </c>
      <c r="B789" s="74">
        <v>44169</v>
      </c>
      <c r="C789" s="28" t="s">
        <v>11</v>
      </c>
      <c r="D789" s="74">
        <v>44147</v>
      </c>
      <c r="E789" s="145"/>
      <c r="F789" s="28"/>
      <c r="G789" s="32" t="s">
        <v>574</v>
      </c>
      <c r="H789" s="63">
        <v>1</v>
      </c>
      <c r="I789" s="63"/>
      <c r="J789" s="63">
        <f>+'INVENTARIO ABRIL-JUNIO 2021'!$H789-'INVENTARIO ABRIL-JUNIO 2021'!$I789</f>
        <v>1</v>
      </c>
      <c r="K789" s="63"/>
      <c r="L789" s="63"/>
      <c r="M789" s="63"/>
      <c r="N789" s="63"/>
      <c r="O789" s="125"/>
      <c r="P789" s="63"/>
      <c r="Q789" s="63"/>
      <c r="R789" s="63"/>
      <c r="S789" s="63"/>
      <c r="T789" s="63"/>
      <c r="U789" s="63">
        <f>+Tabla1[[#This Row],[STOCK    FISICO ENERO 2021]]-Tabla1[[#This Row],[REQUISICIONES FEBRERO 2021]]</f>
        <v>1</v>
      </c>
      <c r="V789" s="63">
        <f>+Tabla1[[#This Row],[STOCK  FEBRERO 2021]]-Tabla1[[#This Row],[REQUISICIONES MARZO 2021]]+Tabla1[[#This Row],[ENTRADAS MARZO 2021]]</f>
        <v>1</v>
      </c>
      <c r="W789" s="63">
        <f>+Tabla1[[#This Row],[STOCK MARZO 2021]]-Tabla1[[#This Row],[REQUISICIONES ABRIL 2021]]+Tabla1[[#This Row],[ENTRADAS ABRIL 2021]]</f>
        <v>1</v>
      </c>
      <c r="X789" s="63">
        <f>+Tabla1[[#This Row],[STOCK ABRIL 2021]]-Tabla1[[#This Row],[REQUISICIONES MAYO 2021]]+Tabla1[[#This Row],[ENTRADAS MAYO 2021]]</f>
        <v>1</v>
      </c>
      <c r="Y789" s="63">
        <f>+Tabla1[[#This Row],[STOCK MAYO 2021]]-Tabla1[[#This Row],[REQUISICIONES JUNIO 2021]]+Tabla1[[#This Row],[ENTRADAS JUNIO 2021]]</f>
        <v>1</v>
      </c>
      <c r="Z789" s="73" t="s">
        <v>12</v>
      </c>
      <c r="AA789" s="34">
        <v>1115</v>
      </c>
      <c r="AB789" s="35">
        <f t="shared" si="34"/>
        <v>1315.7</v>
      </c>
      <c r="AC789" s="93">
        <f>Tabla1[[#This Row],[STOCK JUNIO ]]*Tabla1[[#This Row],[COSTO UNITARIO SIN ITBIS]]</f>
        <v>1115</v>
      </c>
    </row>
    <row r="790" spans="1:32" s="8" customFormat="1" x14ac:dyDescent="0.25">
      <c r="A790" s="265">
        <v>11</v>
      </c>
      <c r="B790" s="31">
        <v>44169</v>
      </c>
      <c r="C790" s="28" t="s">
        <v>11</v>
      </c>
      <c r="D790" s="31">
        <v>44176</v>
      </c>
      <c r="E790" s="137"/>
      <c r="F790" s="28"/>
      <c r="G790" s="32" t="s">
        <v>575</v>
      </c>
      <c r="H790" s="63">
        <v>0</v>
      </c>
      <c r="I790" s="63"/>
      <c r="J790" s="63">
        <f>+'INVENTARIO ABRIL-JUNIO 2021'!$H790-'INVENTARIO ABRIL-JUNIO 2021'!$I790</f>
        <v>0</v>
      </c>
      <c r="K790" s="63"/>
      <c r="L790" s="63"/>
      <c r="M790" s="63"/>
      <c r="N790" s="63"/>
      <c r="O790" s="125"/>
      <c r="P790" s="63"/>
      <c r="Q790" s="63"/>
      <c r="R790" s="63"/>
      <c r="S790" s="63"/>
      <c r="T790" s="63"/>
      <c r="U790" s="63">
        <f>+Tabla1[[#This Row],[STOCK    FISICO ENERO 2021]]-Tabla1[[#This Row],[REQUISICIONES FEBRERO 2021]]</f>
        <v>0</v>
      </c>
      <c r="V790" s="63">
        <f>+Tabla1[[#This Row],[STOCK  FEBRERO 2021]]-Tabla1[[#This Row],[REQUISICIONES MARZO 2021]]+Tabla1[[#This Row],[ENTRADAS MARZO 2021]]</f>
        <v>0</v>
      </c>
      <c r="W790" s="63">
        <f>+Tabla1[[#This Row],[STOCK MARZO 2021]]-Tabla1[[#This Row],[REQUISICIONES ABRIL 2021]]+Tabla1[[#This Row],[ENTRADAS ABRIL 2021]]</f>
        <v>0</v>
      </c>
      <c r="X790" s="63">
        <f>+Tabla1[[#This Row],[STOCK ABRIL 2021]]-Tabla1[[#This Row],[REQUISICIONES MAYO 2021]]+Tabla1[[#This Row],[ENTRADAS MAYO 2021]]</f>
        <v>0</v>
      </c>
      <c r="Y790" s="63">
        <f>+Tabla1[[#This Row],[STOCK MAYO 2021]]-Tabla1[[#This Row],[REQUISICIONES JUNIO 2021]]+Tabla1[[#This Row],[ENTRADAS JUNIO 2021]]</f>
        <v>0</v>
      </c>
      <c r="Z790" s="73" t="s">
        <v>12</v>
      </c>
      <c r="AA790" s="34">
        <v>1040</v>
      </c>
      <c r="AB790" s="35">
        <f t="shared" si="34"/>
        <v>1227.2</v>
      </c>
      <c r="AC790" s="93">
        <f>Tabla1[[#This Row],[STOCK JUNIO ]]*Tabla1[[#This Row],[COSTO UNITARIO SIN ITBIS]]</f>
        <v>0</v>
      </c>
    </row>
    <row r="791" spans="1:32" s="8" customFormat="1" x14ac:dyDescent="0.25">
      <c r="A791" s="265">
        <v>12</v>
      </c>
      <c r="B791" s="31"/>
      <c r="C791" s="28" t="s">
        <v>11</v>
      </c>
      <c r="D791" s="31"/>
      <c r="E791" s="137"/>
      <c r="F791" s="28"/>
      <c r="G791" s="32" t="s">
        <v>576</v>
      </c>
      <c r="H791" s="63">
        <v>6</v>
      </c>
      <c r="I791" s="63"/>
      <c r="J791" s="63">
        <f>+'INVENTARIO ABRIL-JUNIO 2021'!$H791-'INVENTARIO ABRIL-JUNIO 2021'!$I791</f>
        <v>6</v>
      </c>
      <c r="K791" s="63"/>
      <c r="L791" s="63"/>
      <c r="M791" s="63"/>
      <c r="N791" s="63"/>
      <c r="O791" s="125"/>
      <c r="P791" s="63"/>
      <c r="Q791" s="63">
        <v>1</v>
      </c>
      <c r="R791" s="63"/>
      <c r="S791" s="63">
        <f>4+1</f>
        <v>5</v>
      </c>
      <c r="T791" s="63"/>
      <c r="U791" s="63">
        <f>+Tabla1[[#This Row],[STOCK    FISICO ENERO 2021]]-Tabla1[[#This Row],[REQUISICIONES FEBRERO 2021]]</f>
        <v>6</v>
      </c>
      <c r="V791" s="63">
        <f>+Tabla1[[#This Row],[STOCK  FEBRERO 2021]]-Tabla1[[#This Row],[REQUISICIONES MARZO 2021]]+Tabla1[[#This Row],[ENTRADAS MARZO 2021]]</f>
        <v>5</v>
      </c>
      <c r="W791" s="63">
        <f>+Tabla1[[#This Row],[STOCK MARZO 2021]]-Tabla1[[#This Row],[REQUISICIONES ABRIL 2021]]+Tabla1[[#This Row],[ENTRADAS ABRIL 2021]]</f>
        <v>5</v>
      </c>
      <c r="X791" s="63">
        <f>+Tabla1[[#This Row],[STOCK ABRIL 2021]]-Tabla1[[#This Row],[REQUISICIONES MAYO 2021]]+Tabla1[[#This Row],[ENTRADAS MAYO 2021]]</f>
        <v>0</v>
      </c>
      <c r="Y791" s="63">
        <f>+Tabla1[[#This Row],[STOCK MAYO 2021]]-Tabla1[[#This Row],[REQUISICIONES JUNIO 2021]]+Tabla1[[#This Row],[ENTRADAS JUNIO 2021]]</f>
        <v>0</v>
      </c>
      <c r="Z791" s="73" t="s">
        <v>12</v>
      </c>
      <c r="AA791" s="34">
        <v>625</v>
      </c>
      <c r="AB791" s="35">
        <f t="shared" si="34"/>
        <v>737.5</v>
      </c>
      <c r="AC791" s="93">
        <f>Tabla1[[#This Row],[STOCK JUNIO ]]*Tabla1[[#This Row],[COSTO UNITARIO SIN ITBIS]]</f>
        <v>0</v>
      </c>
    </row>
    <row r="792" spans="1:32" s="8" customFormat="1" x14ac:dyDescent="0.25">
      <c r="A792" s="265">
        <v>13</v>
      </c>
      <c r="B792" s="74">
        <v>44110</v>
      </c>
      <c r="C792" s="28" t="s">
        <v>11</v>
      </c>
      <c r="D792" s="74">
        <v>44110</v>
      </c>
      <c r="E792" s="145"/>
      <c r="F792" s="28"/>
      <c r="G792" s="32" t="s">
        <v>577</v>
      </c>
      <c r="H792" s="63">
        <f>8+2</f>
        <v>10</v>
      </c>
      <c r="I792" s="63"/>
      <c r="J792" s="63">
        <f>+'INVENTARIO ABRIL-JUNIO 2021'!$H792-'INVENTARIO ABRIL-JUNIO 2021'!$I792</f>
        <v>10</v>
      </c>
      <c r="K792" s="63"/>
      <c r="L792" s="63"/>
      <c r="M792" s="63"/>
      <c r="N792" s="63"/>
      <c r="O792" s="125"/>
      <c r="P792" s="63"/>
      <c r="Q792" s="63">
        <v>2</v>
      </c>
      <c r="R792" s="63">
        <v>2</v>
      </c>
      <c r="S792" s="63">
        <v>4</v>
      </c>
      <c r="T792" s="63">
        <v>1</v>
      </c>
      <c r="U792" s="63">
        <f>+Tabla1[[#This Row],[STOCK    FISICO ENERO 2021]]-Tabla1[[#This Row],[REQUISICIONES FEBRERO 2021]]</f>
        <v>10</v>
      </c>
      <c r="V792" s="63">
        <f>+Tabla1[[#This Row],[STOCK  FEBRERO 2021]]-Tabla1[[#This Row],[REQUISICIONES MARZO 2021]]+Tabla1[[#This Row],[ENTRADAS MARZO 2021]]</f>
        <v>8</v>
      </c>
      <c r="W792" s="63">
        <f>+Tabla1[[#This Row],[STOCK MARZO 2021]]-Tabla1[[#This Row],[REQUISICIONES ABRIL 2021]]+Tabla1[[#This Row],[ENTRADAS ABRIL 2021]]</f>
        <v>6</v>
      </c>
      <c r="X792" s="63">
        <f>+Tabla1[[#This Row],[STOCK ABRIL 2021]]-Tabla1[[#This Row],[REQUISICIONES MAYO 2021]]+Tabla1[[#This Row],[ENTRADAS MAYO 2021]]</f>
        <v>2</v>
      </c>
      <c r="Y792" s="63">
        <f>+Tabla1[[#This Row],[STOCK MAYO 2021]]-Tabla1[[#This Row],[REQUISICIONES JUNIO 2021]]+Tabla1[[#This Row],[ENTRADAS JUNIO 2021]]</f>
        <v>1</v>
      </c>
      <c r="Z792" s="73" t="s">
        <v>12</v>
      </c>
      <c r="AA792" s="34">
        <v>950</v>
      </c>
      <c r="AB792" s="35">
        <f t="shared" si="34"/>
        <v>1121</v>
      </c>
      <c r="AC792" s="93">
        <f>Tabla1[[#This Row],[STOCK JUNIO ]]*Tabla1[[#This Row],[COSTO UNITARIO SIN ITBIS]]</f>
        <v>950</v>
      </c>
    </row>
    <row r="793" spans="1:32" s="8" customFormat="1" x14ac:dyDescent="0.25">
      <c r="A793" s="265">
        <v>14</v>
      </c>
      <c r="B793" s="74">
        <v>44168</v>
      </c>
      <c r="C793" s="28" t="s">
        <v>11</v>
      </c>
      <c r="D793" s="74">
        <v>44154</v>
      </c>
      <c r="E793" s="145"/>
      <c r="F793" s="28"/>
      <c r="G793" s="32" t="s">
        <v>578</v>
      </c>
      <c r="H793" s="63">
        <v>0</v>
      </c>
      <c r="I793" s="63"/>
      <c r="J793" s="63">
        <f>+'INVENTARIO ABRIL-JUNIO 2021'!$H793-'INVENTARIO ABRIL-JUNIO 2021'!$I793</f>
        <v>0</v>
      </c>
      <c r="K793" s="63"/>
      <c r="L793" s="63"/>
      <c r="M793" s="63"/>
      <c r="N793" s="63"/>
      <c r="O793" s="125"/>
      <c r="P793" s="63"/>
      <c r="Q793" s="63"/>
      <c r="R793" s="63"/>
      <c r="S793" s="63"/>
      <c r="T793" s="63"/>
      <c r="U793" s="63">
        <f>+Tabla1[[#This Row],[STOCK    FISICO ENERO 2021]]-Tabla1[[#This Row],[REQUISICIONES FEBRERO 2021]]</f>
        <v>0</v>
      </c>
      <c r="V793" s="63">
        <f>+Tabla1[[#This Row],[STOCK  FEBRERO 2021]]-Tabla1[[#This Row],[REQUISICIONES MARZO 2021]]+Tabla1[[#This Row],[ENTRADAS MARZO 2021]]</f>
        <v>0</v>
      </c>
      <c r="W793" s="63">
        <f>+Tabla1[[#This Row],[STOCK MARZO 2021]]-Tabla1[[#This Row],[REQUISICIONES ABRIL 2021]]+Tabla1[[#This Row],[ENTRADAS ABRIL 2021]]</f>
        <v>0</v>
      </c>
      <c r="X793" s="63">
        <f>+Tabla1[[#This Row],[STOCK ABRIL 2021]]-Tabla1[[#This Row],[REQUISICIONES MAYO 2021]]+Tabla1[[#This Row],[ENTRADAS MAYO 2021]]</f>
        <v>0</v>
      </c>
      <c r="Y793" s="63">
        <f>+Tabla1[[#This Row],[STOCK MAYO 2021]]-Tabla1[[#This Row],[REQUISICIONES JUNIO 2021]]+Tabla1[[#This Row],[ENTRADAS JUNIO 2021]]</f>
        <v>0</v>
      </c>
      <c r="Z793" s="73" t="s">
        <v>12</v>
      </c>
      <c r="AA793" s="34">
        <v>928.37</v>
      </c>
      <c r="AB793" s="35">
        <f t="shared" si="34"/>
        <v>1095.4766</v>
      </c>
      <c r="AC793" s="93">
        <f>Tabla1[[#This Row],[STOCK JUNIO ]]*Tabla1[[#This Row],[COSTO UNITARIO SIN ITBIS]]</f>
        <v>0</v>
      </c>
    </row>
    <row r="794" spans="1:32" s="8" customFormat="1" ht="24.75" thickBot="1" x14ac:dyDescent="0.3">
      <c r="A794" s="57"/>
      <c r="B794" s="56"/>
      <c r="C794" s="56"/>
      <c r="D794" s="56"/>
      <c r="E794" s="141"/>
      <c r="F794" s="56"/>
      <c r="G794" s="56"/>
      <c r="H794" s="57"/>
      <c r="I794" s="57"/>
      <c r="J794" s="57">
        <f>+'INVENTARIO ABRIL-JUNIO 2021'!$H794-'INVENTARIO ABRIL-JUNIO 2021'!$I794</f>
        <v>0</v>
      </c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81"/>
      <c r="AA794" s="58"/>
      <c r="AB794" s="58" t="s">
        <v>717</v>
      </c>
      <c r="AC794" s="95">
        <f>SUM(AC780:AC793)</f>
        <v>270956.37999999995</v>
      </c>
      <c r="AF794" s="8" t="s">
        <v>833</v>
      </c>
    </row>
    <row r="795" spans="1:32" s="8" customFormat="1" ht="15.75" thickTop="1" x14ac:dyDescent="0.25">
      <c r="A795" s="262" t="s">
        <v>579</v>
      </c>
      <c r="B795" s="61"/>
      <c r="C795" s="61"/>
      <c r="D795" s="61"/>
      <c r="E795" s="96"/>
      <c r="F795" s="61"/>
      <c r="G795" s="61"/>
      <c r="H795" s="61"/>
      <c r="I795" s="61"/>
      <c r="J795" s="61"/>
      <c r="K795" s="61"/>
      <c r="L795" s="61"/>
      <c r="M795" s="61"/>
      <c r="N795" s="61"/>
      <c r="O795" s="262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96"/>
    </row>
    <row r="796" spans="1:32" s="8" customFormat="1" x14ac:dyDescent="0.25">
      <c r="A796" s="265">
        <v>1</v>
      </c>
      <c r="B796" s="74">
        <v>44028</v>
      </c>
      <c r="C796" s="13" t="s">
        <v>11</v>
      </c>
      <c r="D796" s="74">
        <v>44028</v>
      </c>
      <c r="E796" s="145"/>
      <c r="F796" s="13">
        <v>1780</v>
      </c>
      <c r="G796" s="75" t="s">
        <v>580</v>
      </c>
      <c r="H796" s="72">
        <v>1</v>
      </c>
      <c r="I796" s="72"/>
      <c r="J796" s="72">
        <f>+'INVENTARIO ABRIL-JUNIO 2021'!$H796-'INVENTARIO ABRIL-JUNIO 2021'!$I796</f>
        <v>1</v>
      </c>
      <c r="K796" s="72"/>
      <c r="L796" s="72"/>
      <c r="M796" s="72"/>
      <c r="N796" s="72"/>
      <c r="O796" s="296"/>
      <c r="P796" s="72"/>
      <c r="Q796" s="72"/>
      <c r="R796" s="72"/>
      <c r="S796" s="72"/>
      <c r="T796" s="72"/>
      <c r="U796" s="72">
        <f>+Tabla1[[#This Row],[STOCK    FISICO ENERO 2021]]-Tabla1[[#This Row],[REQUISICIONES FEBRERO 2021]]</f>
        <v>1</v>
      </c>
      <c r="V796" s="72">
        <f>+Tabla1[[#This Row],[STOCK  FEBRERO 2021]]-Tabla1[[#This Row],[REQUISICIONES MARZO 2021]]+Tabla1[[#This Row],[ENTRADAS MARZO 2021]]</f>
        <v>1</v>
      </c>
      <c r="W796" s="72">
        <f>+Tabla1[[#This Row],[STOCK MARZO 2021]]-Tabla1[[#This Row],[REQUISICIONES ABRIL 2021]]+Tabla1[[#This Row],[ENTRADAS ABRIL 2021]]</f>
        <v>1</v>
      </c>
      <c r="X796" s="72">
        <f>+Tabla1[[#This Row],[STOCK ABRIL 2021]]-Tabla1[[#This Row],[REQUISICIONES MAYO 2021]]+Tabla1[[#This Row],[ENTRADAS MAYO 2021]]</f>
        <v>1</v>
      </c>
      <c r="Y796" s="72">
        <f>+Tabla1[[#This Row],[STOCK MAYO 2021]]-Tabla1[[#This Row],[REQUISICIONES JUNIO 2021]]+Tabla1[[#This Row],[ENTRADAS JUNIO 2021]]</f>
        <v>1</v>
      </c>
      <c r="Z796" s="73" t="s">
        <v>105</v>
      </c>
      <c r="AA796" s="76">
        <v>546</v>
      </c>
      <c r="AB796" s="35">
        <f>AA796*0.18+AA796</f>
        <v>644.28</v>
      </c>
      <c r="AC796" s="93">
        <f>Tabla1[[#This Row],[STOCK JUNIO ]]*Tabla1[[#This Row],[COSTO UNITARIO SIN ITBIS]]</f>
        <v>546</v>
      </c>
    </row>
    <row r="797" spans="1:32" s="10" customFormat="1" x14ac:dyDescent="0.25">
      <c r="A797" s="265">
        <v>2</v>
      </c>
      <c r="B797" s="31"/>
      <c r="C797" s="13" t="s">
        <v>11</v>
      </c>
      <c r="D797" s="31"/>
      <c r="E797" s="137"/>
      <c r="F797" s="28" t="s">
        <v>20</v>
      </c>
      <c r="G797" s="32" t="s">
        <v>581</v>
      </c>
      <c r="H797" s="63">
        <v>1</v>
      </c>
      <c r="I797" s="63"/>
      <c r="J797" s="63">
        <f>+'INVENTARIO ABRIL-JUNIO 2021'!$H797-'INVENTARIO ABRIL-JUNIO 2021'!$I797</f>
        <v>1</v>
      </c>
      <c r="K797" s="63"/>
      <c r="L797" s="63"/>
      <c r="M797" s="63"/>
      <c r="N797" s="63"/>
      <c r="O797" s="125"/>
      <c r="P797" s="63"/>
      <c r="Q797" s="63"/>
      <c r="R797" s="63"/>
      <c r="S797" s="63">
        <v>1</v>
      </c>
      <c r="T797" s="63"/>
      <c r="U797" s="63">
        <f>+Tabla1[[#This Row],[STOCK    FISICO ENERO 2021]]-Tabla1[[#This Row],[REQUISICIONES FEBRERO 2021]]</f>
        <v>1</v>
      </c>
      <c r="V797" s="63">
        <f>+Tabla1[[#This Row],[STOCK  FEBRERO 2021]]-Tabla1[[#This Row],[REQUISICIONES MARZO 2021]]+Tabla1[[#This Row],[ENTRADAS MARZO 2021]]</f>
        <v>1</v>
      </c>
      <c r="W797" s="63">
        <f>+Tabla1[[#This Row],[STOCK MARZO 2021]]-Tabla1[[#This Row],[REQUISICIONES ABRIL 2021]]+Tabla1[[#This Row],[ENTRADAS ABRIL 2021]]</f>
        <v>1</v>
      </c>
      <c r="X797" s="63">
        <f>+Tabla1[[#This Row],[STOCK ABRIL 2021]]-Tabla1[[#This Row],[REQUISICIONES MAYO 2021]]+Tabla1[[#This Row],[ENTRADAS MAYO 2021]]</f>
        <v>0</v>
      </c>
      <c r="Y797" s="63">
        <f>+Tabla1[[#This Row],[STOCK MAYO 2021]]-Tabla1[[#This Row],[REQUISICIONES JUNIO 2021]]+Tabla1[[#This Row],[ENTRADAS JUNIO 2021]]</f>
        <v>0</v>
      </c>
      <c r="Z797" s="30" t="s">
        <v>12</v>
      </c>
      <c r="AA797" s="34">
        <v>22788.560000000001</v>
      </c>
      <c r="AB797" s="35">
        <f>AA797*0.18+AA797</f>
        <v>26890.500800000002</v>
      </c>
      <c r="AC797" s="93">
        <f>Tabla1[[#This Row],[STOCK JUNIO ]]*Tabla1[[#This Row],[COSTO UNITARIO SIN ITBIS]]</f>
        <v>0</v>
      </c>
    </row>
    <row r="798" spans="1:32" s="10" customFormat="1" x14ac:dyDescent="0.25">
      <c r="A798" s="265">
        <v>3</v>
      </c>
      <c r="B798" s="128">
        <v>44027</v>
      </c>
      <c r="C798" s="129" t="s">
        <v>11</v>
      </c>
      <c r="D798" s="130">
        <v>44027</v>
      </c>
      <c r="E798" s="138"/>
      <c r="F798" s="131">
        <v>1678</v>
      </c>
      <c r="G798" s="119" t="s">
        <v>736</v>
      </c>
      <c r="H798" s="120"/>
      <c r="I798" s="120"/>
      <c r="J798" s="120">
        <f>+'INVENTARIO ABRIL-JUNIO 2021'!$H798-'INVENTARIO ABRIL-JUNIO 2021'!$I798+2</f>
        <v>2</v>
      </c>
      <c r="K798" s="120"/>
      <c r="L798" s="120"/>
      <c r="M798" s="120"/>
      <c r="N798" s="120"/>
      <c r="O798" s="121"/>
      <c r="P798" s="120"/>
      <c r="Q798" s="120">
        <v>1</v>
      </c>
      <c r="R798" s="120">
        <v>1</v>
      </c>
      <c r="S798" s="120"/>
      <c r="T798" s="120"/>
      <c r="U798" s="121">
        <f>+Tabla1[[#This Row],[STOCK    FISICO ENERO 2021]]-Tabla1[[#This Row],[REQUISICIONES FEBRERO 2021]]</f>
        <v>2</v>
      </c>
      <c r="V798" s="121">
        <f>+Tabla1[[#This Row],[STOCK  FEBRERO 2021]]-Tabla1[[#This Row],[REQUISICIONES MARZO 2021]]+Tabla1[[#This Row],[ENTRADAS MARZO 2021]]</f>
        <v>1</v>
      </c>
      <c r="W798" s="121">
        <f>+Tabla1[[#This Row],[STOCK MARZO 2021]]-Tabla1[[#This Row],[REQUISICIONES ABRIL 2021]]+Tabla1[[#This Row],[ENTRADAS ABRIL 2021]]</f>
        <v>0</v>
      </c>
      <c r="X798" s="121">
        <f>+Tabla1[[#This Row],[STOCK ABRIL 2021]]-Tabla1[[#This Row],[REQUISICIONES MAYO 2021]]+Tabla1[[#This Row],[ENTRADAS MAYO 2021]]</f>
        <v>0</v>
      </c>
      <c r="Y798" s="121">
        <f>+Tabla1[[#This Row],[STOCK MAYO 2021]]-Tabla1[[#This Row],[REQUISICIONES JUNIO 2021]]+Tabla1[[#This Row],[ENTRADAS JUNIO 2021]]</f>
        <v>0</v>
      </c>
      <c r="Z798" s="127" t="s">
        <v>105</v>
      </c>
      <c r="AA798" s="132">
        <v>2830.23</v>
      </c>
      <c r="AB798" s="133">
        <f t="shared" ref="AB798" si="35">AA798*0.18+AA798</f>
        <v>3339.6714000000002</v>
      </c>
      <c r="AC798" s="93">
        <f>Tabla1[[#This Row],[STOCK JUNIO ]]*Tabla1[[#This Row],[COSTO UNITARIO SIN ITBIS]]</f>
        <v>0</v>
      </c>
    </row>
    <row r="799" spans="1:32" s="8" customFormat="1" x14ac:dyDescent="0.25">
      <c r="A799" s="265">
        <v>4</v>
      </c>
      <c r="B799" s="31"/>
      <c r="C799" s="13"/>
      <c r="D799" s="31"/>
      <c r="E799" s="137"/>
      <c r="F799" s="28"/>
      <c r="G799" s="32" t="s">
        <v>696</v>
      </c>
      <c r="H799" s="63">
        <v>4</v>
      </c>
      <c r="I799" s="63"/>
      <c r="J799" s="63">
        <f>+'INVENTARIO ABRIL-JUNIO 2021'!$H799-'INVENTARIO ABRIL-JUNIO 2021'!$I799</f>
        <v>4</v>
      </c>
      <c r="K799" s="63"/>
      <c r="L799" s="63"/>
      <c r="M799" s="63"/>
      <c r="N799" s="63"/>
      <c r="O799" s="125"/>
      <c r="P799" s="63"/>
      <c r="Q799" s="63"/>
      <c r="R799" s="63"/>
      <c r="S799" s="63">
        <v>2</v>
      </c>
      <c r="T799" s="63"/>
      <c r="U799" s="63">
        <f>+Tabla1[[#This Row],[STOCK    FISICO ENERO 2021]]-Tabla1[[#This Row],[REQUISICIONES FEBRERO 2021]]</f>
        <v>4</v>
      </c>
      <c r="V799" s="63">
        <f>+Tabla1[[#This Row],[STOCK  FEBRERO 2021]]-Tabla1[[#This Row],[REQUISICIONES MARZO 2021]]+Tabla1[[#This Row],[ENTRADAS MARZO 2021]]</f>
        <v>4</v>
      </c>
      <c r="W799" s="63">
        <f>+Tabla1[[#This Row],[STOCK MARZO 2021]]-Tabla1[[#This Row],[REQUISICIONES ABRIL 2021]]+Tabla1[[#This Row],[ENTRADAS ABRIL 2021]]</f>
        <v>4</v>
      </c>
      <c r="X799" s="63">
        <f>+Tabla1[[#This Row],[STOCK ABRIL 2021]]-Tabla1[[#This Row],[REQUISICIONES MAYO 2021]]+Tabla1[[#This Row],[ENTRADAS MAYO 2021]]</f>
        <v>2</v>
      </c>
      <c r="Y799" s="63">
        <f>+Tabla1[[#This Row],[STOCK MAYO 2021]]-Tabla1[[#This Row],[REQUISICIONES JUNIO 2021]]+Tabla1[[#This Row],[ENTRADAS JUNIO 2021]]</f>
        <v>2</v>
      </c>
      <c r="Z799" s="30" t="s">
        <v>12</v>
      </c>
      <c r="AA799" s="34"/>
      <c r="AB799" s="35"/>
      <c r="AC799" s="93">
        <f>Tabla1[[#This Row],[STOCK JUNIO ]]*Tabla1[[#This Row],[COSTO UNITARIO SIN ITBIS]]</f>
        <v>0</v>
      </c>
    </row>
    <row r="800" spans="1:32" s="8" customFormat="1" x14ac:dyDescent="0.25">
      <c r="A800" s="265">
        <v>5</v>
      </c>
      <c r="B800" s="74">
        <v>44028</v>
      </c>
      <c r="C800" s="13" t="s">
        <v>11</v>
      </c>
      <c r="D800" s="74">
        <v>44028</v>
      </c>
      <c r="E800" s="145"/>
      <c r="F800" s="13">
        <v>1773</v>
      </c>
      <c r="G800" s="75" t="s">
        <v>582</v>
      </c>
      <c r="H800" s="72">
        <v>0</v>
      </c>
      <c r="I800" s="72"/>
      <c r="J800" s="72">
        <f>+'INVENTARIO ABRIL-JUNIO 2021'!$H800-'INVENTARIO ABRIL-JUNIO 2021'!$I800</f>
        <v>0</v>
      </c>
      <c r="K800" s="72"/>
      <c r="L800" s="72"/>
      <c r="M800" s="72"/>
      <c r="N800" s="72"/>
      <c r="O800" s="296"/>
      <c r="P800" s="72"/>
      <c r="Q800" s="72"/>
      <c r="R800" s="72"/>
      <c r="S800" s="72"/>
      <c r="T800" s="72"/>
      <c r="U800" s="72">
        <f>+Tabla1[[#This Row],[STOCK    FISICO ENERO 2021]]-Tabla1[[#This Row],[REQUISICIONES FEBRERO 2021]]</f>
        <v>0</v>
      </c>
      <c r="V800" s="72">
        <f>+Tabla1[[#This Row],[STOCK  FEBRERO 2021]]-Tabla1[[#This Row],[REQUISICIONES MARZO 2021]]+Tabla1[[#This Row],[ENTRADAS MARZO 2021]]</f>
        <v>0</v>
      </c>
      <c r="W800" s="72">
        <f>+Tabla1[[#This Row],[STOCK MARZO 2021]]-Tabla1[[#This Row],[REQUISICIONES ABRIL 2021]]+Tabla1[[#This Row],[ENTRADAS ABRIL 2021]]</f>
        <v>0</v>
      </c>
      <c r="X800" s="72">
        <f>+Tabla1[[#This Row],[STOCK ABRIL 2021]]-Tabla1[[#This Row],[REQUISICIONES MAYO 2021]]+Tabla1[[#This Row],[ENTRADAS MAYO 2021]]</f>
        <v>0</v>
      </c>
      <c r="Y800" s="72">
        <f>+Tabla1[[#This Row],[STOCK MAYO 2021]]-Tabla1[[#This Row],[REQUISICIONES JUNIO 2021]]+Tabla1[[#This Row],[ENTRADAS JUNIO 2021]]</f>
        <v>0</v>
      </c>
      <c r="Z800" s="30" t="s">
        <v>12</v>
      </c>
      <c r="AA800" s="76">
        <v>2818.8</v>
      </c>
      <c r="AB800" s="35">
        <f t="shared" ref="AB800:AB834" si="36">AA800*0.18+AA800</f>
        <v>3326.1840000000002</v>
      </c>
      <c r="AC800" s="93">
        <f>Tabla1[[#This Row],[STOCK JUNIO ]]*Tabla1[[#This Row],[COSTO UNITARIO SIN ITBIS]]</f>
        <v>0</v>
      </c>
    </row>
    <row r="801" spans="1:29" s="8" customFormat="1" ht="16.5" customHeight="1" x14ac:dyDescent="0.25">
      <c r="A801" s="265">
        <v>6</v>
      </c>
      <c r="B801" s="31">
        <v>44028</v>
      </c>
      <c r="C801" s="13" t="s">
        <v>11</v>
      </c>
      <c r="D801" s="31">
        <v>44028</v>
      </c>
      <c r="E801" s="137"/>
      <c r="F801" s="28">
        <v>1817</v>
      </c>
      <c r="G801" s="32" t="s">
        <v>583</v>
      </c>
      <c r="H801" s="63">
        <v>1</v>
      </c>
      <c r="I801" s="63"/>
      <c r="J801" s="63">
        <f>+'INVENTARIO ABRIL-JUNIO 2021'!$H801-'INVENTARIO ABRIL-JUNIO 2021'!$I801</f>
        <v>1</v>
      </c>
      <c r="K801" s="63"/>
      <c r="L801" s="63"/>
      <c r="M801" s="63"/>
      <c r="N801" s="63"/>
      <c r="O801" s="125"/>
      <c r="P801" s="63"/>
      <c r="Q801" s="63"/>
      <c r="R801" s="63"/>
      <c r="S801" s="63"/>
      <c r="T801" s="63"/>
      <c r="U801" s="63">
        <f>+Tabla1[[#This Row],[STOCK    FISICO ENERO 2021]]-Tabla1[[#This Row],[REQUISICIONES FEBRERO 2021]]</f>
        <v>1</v>
      </c>
      <c r="V801" s="63">
        <f>+Tabla1[[#This Row],[STOCK  FEBRERO 2021]]-Tabla1[[#This Row],[REQUISICIONES MARZO 2021]]+Tabla1[[#This Row],[ENTRADAS MARZO 2021]]</f>
        <v>1</v>
      </c>
      <c r="W801" s="63">
        <f>+Tabla1[[#This Row],[STOCK MARZO 2021]]-Tabla1[[#This Row],[REQUISICIONES ABRIL 2021]]+Tabla1[[#This Row],[ENTRADAS ABRIL 2021]]</f>
        <v>1</v>
      </c>
      <c r="X801" s="63">
        <f>+Tabla1[[#This Row],[STOCK ABRIL 2021]]-Tabla1[[#This Row],[REQUISICIONES MAYO 2021]]+Tabla1[[#This Row],[ENTRADAS MAYO 2021]]</f>
        <v>1</v>
      </c>
      <c r="Y801" s="63">
        <f>+Tabla1[[#This Row],[STOCK MAYO 2021]]-Tabla1[[#This Row],[REQUISICIONES JUNIO 2021]]+Tabla1[[#This Row],[ENTRADAS JUNIO 2021]]</f>
        <v>1</v>
      </c>
      <c r="Z801" s="30" t="s">
        <v>12</v>
      </c>
      <c r="AA801" s="34">
        <v>2164.8000000000002</v>
      </c>
      <c r="AB801" s="35">
        <f t="shared" si="36"/>
        <v>2554.4640000000004</v>
      </c>
      <c r="AC801" s="93">
        <f>Tabla1[[#This Row],[STOCK JUNIO ]]*Tabla1[[#This Row],[COSTO UNITARIO SIN ITBIS]]</f>
        <v>2164.8000000000002</v>
      </c>
    </row>
    <row r="802" spans="1:29" s="8" customFormat="1" x14ac:dyDescent="0.25">
      <c r="A802" s="265">
        <v>7</v>
      </c>
      <c r="B802" s="74">
        <v>44028</v>
      </c>
      <c r="C802" s="13" t="s">
        <v>11</v>
      </c>
      <c r="D802" s="74">
        <v>44028</v>
      </c>
      <c r="E802" s="145"/>
      <c r="F802" s="13">
        <v>1764</v>
      </c>
      <c r="G802" s="75" t="s">
        <v>584</v>
      </c>
      <c r="H802" s="72">
        <v>2</v>
      </c>
      <c r="I802" s="72"/>
      <c r="J802" s="72">
        <f>+'INVENTARIO ABRIL-JUNIO 2021'!$H802-'INVENTARIO ABRIL-JUNIO 2021'!$I802</f>
        <v>2</v>
      </c>
      <c r="K802" s="72"/>
      <c r="L802" s="72"/>
      <c r="M802" s="72"/>
      <c r="N802" s="72"/>
      <c r="O802" s="296"/>
      <c r="P802" s="72"/>
      <c r="Q802" s="72"/>
      <c r="R802" s="72"/>
      <c r="S802" s="72"/>
      <c r="T802" s="72">
        <v>1</v>
      </c>
      <c r="U802" s="72">
        <f>+Tabla1[[#This Row],[STOCK    FISICO ENERO 2021]]-Tabla1[[#This Row],[REQUISICIONES FEBRERO 2021]]</f>
        <v>2</v>
      </c>
      <c r="V802" s="72">
        <f>+Tabla1[[#This Row],[STOCK  FEBRERO 2021]]-Tabla1[[#This Row],[REQUISICIONES MARZO 2021]]+Tabla1[[#This Row],[ENTRADAS MARZO 2021]]</f>
        <v>2</v>
      </c>
      <c r="W802" s="72">
        <f>+Tabla1[[#This Row],[STOCK MARZO 2021]]-Tabla1[[#This Row],[REQUISICIONES ABRIL 2021]]+Tabla1[[#This Row],[ENTRADAS ABRIL 2021]]</f>
        <v>2</v>
      </c>
      <c r="X802" s="72">
        <f>+Tabla1[[#This Row],[STOCK ABRIL 2021]]-Tabla1[[#This Row],[REQUISICIONES MAYO 2021]]+Tabla1[[#This Row],[ENTRADAS MAYO 2021]]</f>
        <v>2</v>
      </c>
      <c r="Y802" s="72">
        <f>+Tabla1[[#This Row],[STOCK MAYO 2021]]-Tabla1[[#This Row],[REQUISICIONES JUNIO 2021]]+Tabla1[[#This Row],[ENTRADAS JUNIO 2021]]</f>
        <v>1</v>
      </c>
      <c r="Z802" s="30" t="s">
        <v>12</v>
      </c>
      <c r="AA802" s="76">
        <v>177.97</v>
      </c>
      <c r="AB802" s="35">
        <f t="shared" si="36"/>
        <v>210.00459999999998</v>
      </c>
      <c r="AC802" s="93">
        <f>Tabla1[[#This Row],[STOCK JUNIO ]]*Tabla1[[#This Row],[COSTO UNITARIO SIN ITBIS]]</f>
        <v>177.97</v>
      </c>
    </row>
    <row r="803" spans="1:29" s="8" customFormat="1" ht="16.5" customHeight="1" x14ac:dyDescent="0.25">
      <c r="A803" s="265">
        <v>8</v>
      </c>
      <c r="B803" s="31">
        <v>44028</v>
      </c>
      <c r="C803" s="13" t="s">
        <v>11</v>
      </c>
      <c r="D803" s="31">
        <v>44028</v>
      </c>
      <c r="E803" s="137"/>
      <c r="F803" s="28">
        <v>1763</v>
      </c>
      <c r="G803" s="32" t="s">
        <v>687</v>
      </c>
      <c r="H803" s="63">
        <v>1</v>
      </c>
      <c r="I803" s="63"/>
      <c r="J803" s="63">
        <f>+'INVENTARIO ABRIL-JUNIO 2021'!$H803-'INVENTARIO ABRIL-JUNIO 2021'!$I803</f>
        <v>1</v>
      </c>
      <c r="K803" s="63"/>
      <c r="L803" s="63"/>
      <c r="M803" s="63"/>
      <c r="N803" s="63"/>
      <c r="O803" s="125"/>
      <c r="P803" s="63"/>
      <c r="Q803" s="63"/>
      <c r="R803" s="63"/>
      <c r="S803" s="63">
        <v>1</v>
      </c>
      <c r="T803" s="63"/>
      <c r="U803" s="63">
        <f>+Tabla1[[#This Row],[STOCK    FISICO ENERO 2021]]-Tabla1[[#This Row],[REQUISICIONES FEBRERO 2021]]</f>
        <v>1</v>
      </c>
      <c r="V803" s="63">
        <f>+Tabla1[[#This Row],[STOCK  FEBRERO 2021]]-Tabla1[[#This Row],[REQUISICIONES MARZO 2021]]+Tabla1[[#This Row],[ENTRADAS MARZO 2021]]</f>
        <v>1</v>
      </c>
      <c r="W803" s="63">
        <f>+Tabla1[[#This Row],[STOCK MARZO 2021]]-Tabla1[[#This Row],[REQUISICIONES ABRIL 2021]]+Tabla1[[#This Row],[ENTRADAS ABRIL 2021]]</f>
        <v>1</v>
      </c>
      <c r="X803" s="63">
        <f>+Tabla1[[#This Row],[STOCK ABRIL 2021]]-Tabla1[[#This Row],[REQUISICIONES MAYO 2021]]+Tabla1[[#This Row],[ENTRADAS MAYO 2021]]</f>
        <v>0</v>
      </c>
      <c r="Y803" s="63">
        <f>+Tabla1[[#This Row],[STOCK MAYO 2021]]-Tabla1[[#This Row],[REQUISICIONES JUNIO 2021]]+Tabla1[[#This Row],[ENTRADAS JUNIO 2021]]</f>
        <v>0</v>
      </c>
      <c r="Z803" s="30" t="s">
        <v>12</v>
      </c>
      <c r="AA803" s="34">
        <v>177.97</v>
      </c>
      <c r="AB803" s="35">
        <f t="shared" si="36"/>
        <v>210.00459999999998</v>
      </c>
      <c r="AC803" s="93">
        <f>Tabla1[[#This Row],[STOCK JUNIO ]]*Tabla1[[#This Row],[COSTO UNITARIO SIN ITBIS]]</f>
        <v>0</v>
      </c>
    </row>
    <row r="804" spans="1:29" s="8" customFormat="1" ht="15.75" customHeight="1" x14ac:dyDescent="0.25">
      <c r="A804" s="265">
        <v>9</v>
      </c>
      <c r="B804" s="31">
        <v>44110</v>
      </c>
      <c r="C804" s="13" t="s">
        <v>11</v>
      </c>
      <c r="D804" s="31">
        <v>44110</v>
      </c>
      <c r="E804" s="137"/>
      <c r="F804" s="13"/>
      <c r="G804" s="75" t="s">
        <v>585</v>
      </c>
      <c r="H804" s="72">
        <v>1</v>
      </c>
      <c r="I804" s="72"/>
      <c r="J804" s="72">
        <f>+'INVENTARIO ABRIL-JUNIO 2021'!$H804-'INVENTARIO ABRIL-JUNIO 2021'!$I804</f>
        <v>1</v>
      </c>
      <c r="K804" s="72"/>
      <c r="L804" s="72"/>
      <c r="M804" s="72"/>
      <c r="N804" s="72"/>
      <c r="O804" s="296"/>
      <c r="P804" s="72"/>
      <c r="Q804" s="72"/>
      <c r="R804" s="72"/>
      <c r="S804" s="72"/>
      <c r="T804" s="72"/>
      <c r="U804" s="72">
        <f>+Tabla1[[#This Row],[STOCK    FISICO ENERO 2021]]-Tabla1[[#This Row],[REQUISICIONES FEBRERO 2021]]</f>
        <v>1</v>
      </c>
      <c r="V804" s="72">
        <f>+Tabla1[[#This Row],[STOCK  FEBRERO 2021]]-Tabla1[[#This Row],[REQUISICIONES MARZO 2021]]+Tabla1[[#This Row],[ENTRADAS MARZO 2021]]</f>
        <v>1</v>
      </c>
      <c r="W804" s="72">
        <f>+Tabla1[[#This Row],[STOCK MARZO 2021]]-Tabla1[[#This Row],[REQUISICIONES ABRIL 2021]]+Tabla1[[#This Row],[ENTRADAS ABRIL 2021]]</f>
        <v>1</v>
      </c>
      <c r="X804" s="72">
        <f>+Tabla1[[#This Row],[STOCK ABRIL 2021]]-Tabla1[[#This Row],[REQUISICIONES MAYO 2021]]+Tabla1[[#This Row],[ENTRADAS MAYO 2021]]</f>
        <v>1</v>
      </c>
      <c r="Y804" s="72">
        <f>+Tabla1[[#This Row],[STOCK MAYO 2021]]-Tabla1[[#This Row],[REQUISICIONES JUNIO 2021]]+Tabla1[[#This Row],[ENTRADAS JUNIO 2021]]</f>
        <v>1</v>
      </c>
      <c r="Z804" s="30" t="s">
        <v>12</v>
      </c>
      <c r="AA804" s="76"/>
      <c r="AB804" s="35">
        <f t="shared" si="36"/>
        <v>0</v>
      </c>
      <c r="AC804" s="93">
        <f>Tabla1[[#This Row],[STOCK JUNIO ]]*Tabla1[[#This Row],[COSTO UNITARIO SIN ITBIS]]</f>
        <v>0</v>
      </c>
    </row>
    <row r="805" spans="1:29" s="8" customFormat="1" x14ac:dyDescent="0.25">
      <c r="A805" s="265">
        <v>10</v>
      </c>
      <c r="B805" s="74">
        <v>44168</v>
      </c>
      <c r="C805" s="13" t="s">
        <v>11</v>
      </c>
      <c r="D805" s="74">
        <v>44151</v>
      </c>
      <c r="E805" s="145"/>
      <c r="F805" s="28" t="s">
        <v>20</v>
      </c>
      <c r="G805" s="32" t="s">
        <v>586</v>
      </c>
      <c r="H805" s="63">
        <v>3</v>
      </c>
      <c r="I805" s="63"/>
      <c r="J805" s="63">
        <f>+'INVENTARIO ABRIL-JUNIO 2021'!$H805-'INVENTARIO ABRIL-JUNIO 2021'!$I805</f>
        <v>3</v>
      </c>
      <c r="K805" s="63"/>
      <c r="L805" s="63"/>
      <c r="M805" s="63"/>
      <c r="N805" s="63"/>
      <c r="O805" s="125"/>
      <c r="P805" s="63"/>
      <c r="Q805" s="63"/>
      <c r="R805" s="63"/>
      <c r="S805" s="63"/>
      <c r="T805" s="63"/>
      <c r="U805" s="63">
        <f>+Tabla1[[#This Row],[STOCK    FISICO ENERO 2021]]-Tabla1[[#This Row],[REQUISICIONES FEBRERO 2021]]</f>
        <v>3</v>
      </c>
      <c r="V805" s="63">
        <f>+Tabla1[[#This Row],[STOCK  FEBRERO 2021]]-Tabla1[[#This Row],[REQUISICIONES MARZO 2021]]+Tabla1[[#This Row],[ENTRADAS MARZO 2021]]</f>
        <v>3</v>
      </c>
      <c r="W805" s="63">
        <f>+Tabla1[[#This Row],[STOCK MARZO 2021]]-Tabla1[[#This Row],[REQUISICIONES ABRIL 2021]]+Tabla1[[#This Row],[ENTRADAS ABRIL 2021]]</f>
        <v>3</v>
      </c>
      <c r="X805" s="63">
        <f>+Tabla1[[#This Row],[STOCK ABRIL 2021]]-Tabla1[[#This Row],[REQUISICIONES MAYO 2021]]+Tabla1[[#This Row],[ENTRADAS MAYO 2021]]</f>
        <v>3</v>
      </c>
      <c r="Y805" s="63">
        <f>+Tabla1[[#This Row],[STOCK MAYO 2021]]-Tabla1[[#This Row],[REQUISICIONES JUNIO 2021]]+Tabla1[[#This Row],[ENTRADAS JUNIO 2021]]</f>
        <v>3</v>
      </c>
      <c r="Z805" s="73" t="s">
        <v>105</v>
      </c>
      <c r="AA805" s="34">
        <v>0</v>
      </c>
      <c r="AB805" s="35">
        <f t="shared" si="36"/>
        <v>0</v>
      </c>
      <c r="AC805" s="93">
        <f>Tabla1[[#This Row],[STOCK JUNIO ]]*Tabla1[[#This Row],[COSTO UNITARIO SIN ITBIS]]</f>
        <v>0</v>
      </c>
    </row>
    <row r="806" spans="1:29" s="8" customFormat="1" x14ac:dyDescent="0.25">
      <c r="A806" s="265">
        <v>11</v>
      </c>
      <c r="B806" s="31">
        <v>44028</v>
      </c>
      <c r="C806" s="13" t="s">
        <v>11</v>
      </c>
      <c r="D806" s="31">
        <v>44028</v>
      </c>
      <c r="E806" s="137"/>
      <c r="F806" s="28">
        <v>1789</v>
      </c>
      <c r="G806" s="32" t="s">
        <v>587</v>
      </c>
      <c r="H806" s="63">
        <v>1</v>
      </c>
      <c r="I806" s="63"/>
      <c r="J806" s="63">
        <f>+'INVENTARIO ABRIL-JUNIO 2021'!$H806-'INVENTARIO ABRIL-JUNIO 2021'!$I806</f>
        <v>1</v>
      </c>
      <c r="K806" s="63"/>
      <c r="L806" s="63"/>
      <c r="M806" s="63"/>
      <c r="N806" s="63"/>
      <c r="O806" s="125"/>
      <c r="P806" s="63"/>
      <c r="Q806" s="63"/>
      <c r="R806" s="63"/>
      <c r="S806" s="63"/>
      <c r="T806" s="63"/>
      <c r="U806" s="63">
        <f>+Tabla1[[#This Row],[STOCK    FISICO ENERO 2021]]-Tabla1[[#This Row],[REQUISICIONES FEBRERO 2021]]</f>
        <v>1</v>
      </c>
      <c r="V806" s="63">
        <f>+Tabla1[[#This Row],[STOCK  FEBRERO 2021]]-Tabla1[[#This Row],[REQUISICIONES MARZO 2021]]+Tabla1[[#This Row],[ENTRADAS MARZO 2021]]</f>
        <v>1</v>
      </c>
      <c r="W806" s="63">
        <f>+Tabla1[[#This Row],[STOCK MARZO 2021]]-Tabla1[[#This Row],[REQUISICIONES ABRIL 2021]]+Tabla1[[#This Row],[ENTRADAS ABRIL 2021]]</f>
        <v>1</v>
      </c>
      <c r="X806" s="63">
        <f>+Tabla1[[#This Row],[STOCK ABRIL 2021]]-Tabla1[[#This Row],[REQUISICIONES MAYO 2021]]+Tabla1[[#This Row],[ENTRADAS MAYO 2021]]</f>
        <v>1</v>
      </c>
      <c r="Y806" s="63">
        <f>+Tabla1[[#This Row],[STOCK MAYO 2021]]-Tabla1[[#This Row],[REQUISICIONES JUNIO 2021]]+Tabla1[[#This Row],[ENTRADAS JUNIO 2021]]</f>
        <v>1</v>
      </c>
      <c r="Z806" s="30" t="s">
        <v>105</v>
      </c>
      <c r="AA806" s="34">
        <v>390</v>
      </c>
      <c r="AB806" s="35">
        <f t="shared" si="36"/>
        <v>460.2</v>
      </c>
      <c r="AC806" s="93">
        <f>Tabla1[[#This Row],[STOCK JUNIO ]]*Tabla1[[#This Row],[COSTO UNITARIO SIN ITBIS]]</f>
        <v>390</v>
      </c>
    </row>
    <row r="807" spans="1:29" s="8" customFormat="1" x14ac:dyDescent="0.25">
      <c r="A807" s="265">
        <v>12</v>
      </c>
      <c r="B807" s="74">
        <v>44028</v>
      </c>
      <c r="C807" s="13" t="s">
        <v>11</v>
      </c>
      <c r="D807" s="74">
        <v>44028</v>
      </c>
      <c r="E807" s="145"/>
      <c r="F807" s="13">
        <v>1822</v>
      </c>
      <c r="G807" s="75" t="s">
        <v>588</v>
      </c>
      <c r="H807" s="72">
        <v>1</v>
      </c>
      <c r="I807" s="72"/>
      <c r="J807" s="72">
        <f>+'INVENTARIO ABRIL-JUNIO 2021'!$H807-'INVENTARIO ABRIL-JUNIO 2021'!$I807</f>
        <v>1</v>
      </c>
      <c r="K807" s="72"/>
      <c r="L807" s="72"/>
      <c r="M807" s="72"/>
      <c r="N807" s="72"/>
      <c r="O807" s="296"/>
      <c r="P807" s="72"/>
      <c r="Q807" s="72"/>
      <c r="R807" s="72"/>
      <c r="S807" s="72"/>
      <c r="T807" s="72"/>
      <c r="U807" s="72">
        <f>+Tabla1[[#This Row],[STOCK    FISICO ENERO 2021]]-Tabla1[[#This Row],[REQUISICIONES FEBRERO 2021]]</f>
        <v>1</v>
      </c>
      <c r="V807" s="72">
        <f>+Tabla1[[#This Row],[STOCK  FEBRERO 2021]]-Tabla1[[#This Row],[REQUISICIONES MARZO 2021]]+Tabla1[[#This Row],[ENTRADAS MARZO 2021]]</f>
        <v>1</v>
      </c>
      <c r="W807" s="72">
        <f>+Tabla1[[#This Row],[STOCK MARZO 2021]]-Tabla1[[#This Row],[REQUISICIONES ABRIL 2021]]+Tabla1[[#This Row],[ENTRADAS ABRIL 2021]]</f>
        <v>1</v>
      </c>
      <c r="X807" s="72">
        <f>+Tabla1[[#This Row],[STOCK ABRIL 2021]]-Tabla1[[#This Row],[REQUISICIONES MAYO 2021]]+Tabla1[[#This Row],[ENTRADAS MAYO 2021]]</f>
        <v>1</v>
      </c>
      <c r="Y807" s="72">
        <f>+Tabla1[[#This Row],[STOCK MAYO 2021]]-Tabla1[[#This Row],[REQUISICIONES JUNIO 2021]]+Tabla1[[#This Row],[ENTRADAS JUNIO 2021]]</f>
        <v>1</v>
      </c>
      <c r="Z807" s="73" t="s">
        <v>105</v>
      </c>
      <c r="AA807" s="76">
        <v>196.8</v>
      </c>
      <c r="AB807" s="35">
        <f t="shared" si="36"/>
        <v>232.22400000000002</v>
      </c>
      <c r="AC807" s="93">
        <f>Tabla1[[#This Row],[STOCK JUNIO ]]*Tabla1[[#This Row],[COSTO UNITARIO SIN ITBIS]]</f>
        <v>196.8</v>
      </c>
    </row>
    <row r="808" spans="1:29" s="8" customFormat="1" x14ac:dyDescent="0.25">
      <c r="A808" s="265">
        <v>13</v>
      </c>
      <c r="B808" s="74">
        <v>44028</v>
      </c>
      <c r="C808" s="13" t="s">
        <v>11</v>
      </c>
      <c r="D808" s="74">
        <v>44028</v>
      </c>
      <c r="E808" s="145"/>
      <c r="F808" s="13">
        <v>1782</v>
      </c>
      <c r="G808" s="75" t="s">
        <v>589</v>
      </c>
      <c r="H808" s="72">
        <v>5</v>
      </c>
      <c r="I808" s="72"/>
      <c r="J808" s="72">
        <f>+'INVENTARIO ABRIL-JUNIO 2021'!$H808-'INVENTARIO ABRIL-JUNIO 2021'!$I808</f>
        <v>5</v>
      </c>
      <c r="K808" s="72"/>
      <c r="L808" s="72"/>
      <c r="M808" s="72"/>
      <c r="N808" s="72"/>
      <c r="O808" s="296"/>
      <c r="P808" s="72"/>
      <c r="Q808" s="72"/>
      <c r="R808" s="72"/>
      <c r="S808" s="72"/>
      <c r="T808" s="72">
        <f>3+1</f>
        <v>4</v>
      </c>
      <c r="U808" s="72">
        <f>+Tabla1[[#This Row],[STOCK    FISICO ENERO 2021]]-Tabla1[[#This Row],[REQUISICIONES FEBRERO 2021]]</f>
        <v>5</v>
      </c>
      <c r="V808" s="72">
        <f>+Tabla1[[#This Row],[STOCK  FEBRERO 2021]]-Tabla1[[#This Row],[REQUISICIONES MARZO 2021]]+Tabla1[[#This Row],[ENTRADAS MARZO 2021]]</f>
        <v>5</v>
      </c>
      <c r="W808" s="72">
        <f>+Tabla1[[#This Row],[STOCK MARZO 2021]]-Tabla1[[#This Row],[REQUISICIONES ABRIL 2021]]+Tabla1[[#This Row],[ENTRADAS ABRIL 2021]]</f>
        <v>5</v>
      </c>
      <c r="X808" s="72">
        <f>+Tabla1[[#This Row],[STOCK ABRIL 2021]]-Tabla1[[#This Row],[REQUISICIONES MAYO 2021]]+Tabla1[[#This Row],[ENTRADAS MAYO 2021]]</f>
        <v>5</v>
      </c>
      <c r="Y808" s="72">
        <f>+Tabla1[[#This Row],[STOCK MAYO 2021]]-Tabla1[[#This Row],[REQUISICIONES JUNIO 2021]]+Tabla1[[#This Row],[ENTRADAS JUNIO 2021]]</f>
        <v>1</v>
      </c>
      <c r="Z808" s="73" t="s">
        <v>105</v>
      </c>
      <c r="AA808" s="76">
        <v>60</v>
      </c>
      <c r="AB808" s="35">
        <f t="shared" si="36"/>
        <v>70.8</v>
      </c>
      <c r="AC808" s="93">
        <f>Tabla1[[#This Row],[STOCK JUNIO ]]*Tabla1[[#This Row],[COSTO UNITARIO SIN ITBIS]]</f>
        <v>60</v>
      </c>
    </row>
    <row r="809" spans="1:29" s="8" customFormat="1" x14ac:dyDescent="0.25">
      <c r="A809" s="265">
        <v>14</v>
      </c>
      <c r="B809" s="74">
        <v>44028</v>
      </c>
      <c r="C809" s="13" t="s">
        <v>11</v>
      </c>
      <c r="D809" s="74">
        <v>44028</v>
      </c>
      <c r="E809" s="145"/>
      <c r="F809" s="13">
        <v>1765</v>
      </c>
      <c r="G809" s="75" t="s">
        <v>590</v>
      </c>
      <c r="H809" s="72">
        <v>1</v>
      </c>
      <c r="I809" s="72"/>
      <c r="J809" s="72">
        <f>+'INVENTARIO ABRIL-JUNIO 2021'!$H809-'INVENTARIO ABRIL-JUNIO 2021'!$I809</f>
        <v>1</v>
      </c>
      <c r="K809" s="72"/>
      <c r="L809" s="72"/>
      <c r="M809" s="72"/>
      <c r="N809" s="72"/>
      <c r="O809" s="296"/>
      <c r="P809" s="72"/>
      <c r="Q809" s="72"/>
      <c r="R809" s="72"/>
      <c r="S809" s="72"/>
      <c r="T809" s="72"/>
      <c r="U809" s="72">
        <f>+Tabla1[[#This Row],[STOCK    FISICO ENERO 2021]]-Tabla1[[#This Row],[REQUISICIONES FEBRERO 2021]]</f>
        <v>1</v>
      </c>
      <c r="V809" s="72">
        <f>+Tabla1[[#This Row],[STOCK  FEBRERO 2021]]-Tabla1[[#This Row],[REQUISICIONES MARZO 2021]]+Tabla1[[#This Row],[ENTRADAS MARZO 2021]]</f>
        <v>1</v>
      </c>
      <c r="W809" s="72">
        <f>+Tabla1[[#This Row],[STOCK MARZO 2021]]-Tabla1[[#This Row],[REQUISICIONES ABRIL 2021]]+Tabla1[[#This Row],[ENTRADAS ABRIL 2021]]</f>
        <v>1</v>
      </c>
      <c r="X809" s="72">
        <f>+Tabla1[[#This Row],[STOCK ABRIL 2021]]-Tabla1[[#This Row],[REQUISICIONES MAYO 2021]]+Tabla1[[#This Row],[ENTRADAS MAYO 2021]]</f>
        <v>1</v>
      </c>
      <c r="Y809" s="72">
        <f>+Tabla1[[#This Row],[STOCK MAYO 2021]]-Tabla1[[#This Row],[REQUISICIONES JUNIO 2021]]+Tabla1[[#This Row],[ENTRADAS JUNIO 2021]]</f>
        <v>1</v>
      </c>
      <c r="Z809" s="73" t="s">
        <v>105</v>
      </c>
      <c r="AA809" s="76">
        <v>9348</v>
      </c>
      <c r="AB809" s="35">
        <f t="shared" si="36"/>
        <v>11030.64</v>
      </c>
      <c r="AC809" s="93">
        <f>Tabla1[[#This Row],[STOCK JUNIO ]]*Tabla1[[#This Row],[COSTO UNITARIO SIN ITBIS]]</f>
        <v>9348</v>
      </c>
    </row>
    <row r="810" spans="1:29" s="8" customFormat="1" x14ac:dyDescent="0.25">
      <c r="A810" s="265">
        <v>15</v>
      </c>
      <c r="B810" s="31">
        <v>44027</v>
      </c>
      <c r="C810" s="13" t="s">
        <v>11</v>
      </c>
      <c r="D810" s="31">
        <v>44027</v>
      </c>
      <c r="E810" s="137"/>
      <c r="F810" s="28">
        <v>1733</v>
      </c>
      <c r="G810" s="32" t="s">
        <v>591</v>
      </c>
      <c r="H810" s="63">
        <v>2</v>
      </c>
      <c r="I810" s="63"/>
      <c r="J810" s="63">
        <f>+'INVENTARIO ABRIL-JUNIO 2021'!$H810-'INVENTARIO ABRIL-JUNIO 2021'!$I810</f>
        <v>2</v>
      </c>
      <c r="K810" s="63"/>
      <c r="L810" s="63"/>
      <c r="M810" s="63"/>
      <c r="N810" s="63"/>
      <c r="O810" s="125"/>
      <c r="P810" s="63"/>
      <c r="Q810" s="63"/>
      <c r="R810" s="63"/>
      <c r="S810" s="63"/>
      <c r="T810" s="63"/>
      <c r="U810" s="63">
        <f>+Tabla1[[#This Row],[STOCK    FISICO ENERO 2021]]-Tabla1[[#This Row],[REQUISICIONES FEBRERO 2021]]</f>
        <v>2</v>
      </c>
      <c r="V810" s="63">
        <f>+Tabla1[[#This Row],[STOCK  FEBRERO 2021]]-Tabla1[[#This Row],[REQUISICIONES MARZO 2021]]+Tabla1[[#This Row],[ENTRADAS MARZO 2021]]</f>
        <v>2</v>
      </c>
      <c r="W810" s="63">
        <f>+Tabla1[[#This Row],[STOCK MARZO 2021]]-Tabla1[[#This Row],[REQUISICIONES ABRIL 2021]]+Tabla1[[#This Row],[ENTRADAS ABRIL 2021]]</f>
        <v>2</v>
      </c>
      <c r="X810" s="63">
        <f>+Tabla1[[#This Row],[STOCK ABRIL 2021]]-Tabla1[[#This Row],[REQUISICIONES MAYO 2021]]+Tabla1[[#This Row],[ENTRADAS MAYO 2021]]</f>
        <v>2</v>
      </c>
      <c r="Y810" s="63">
        <f>+Tabla1[[#This Row],[STOCK MAYO 2021]]-Tabla1[[#This Row],[REQUISICIONES JUNIO 2021]]+Tabla1[[#This Row],[ENTRADAS JUNIO 2021]]</f>
        <v>2</v>
      </c>
      <c r="Z810" s="30" t="s">
        <v>12</v>
      </c>
      <c r="AA810" s="34">
        <v>152.54</v>
      </c>
      <c r="AB810" s="35">
        <f t="shared" si="36"/>
        <v>179.99719999999999</v>
      </c>
      <c r="AC810" s="93">
        <f>Tabla1[[#This Row],[STOCK JUNIO ]]*Tabla1[[#This Row],[COSTO UNITARIO SIN ITBIS]]</f>
        <v>305.08</v>
      </c>
    </row>
    <row r="811" spans="1:29" s="8" customFormat="1" x14ac:dyDescent="0.25">
      <c r="A811" s="265">
        <v>16</v>
      </c>
      <c r="B811" s="31">
        <v>44027</v>
      </c>
      <c r="C811" s="13" t="s">
        <v>11</v>
      </c>
      <c r="D811" s="31">
        <v>44027</v>
      </c>
      <c r="E811" s="137"/>
      <c r="F811" s="28">
        <v>1749</v>
      </c>
      <c r="G811" s="32" t="s">
        <v>592</v>
      </c>
      <c r="H811" s="63"/>
      <c r="I811" s="63"/>
      <c r="J811" s="63">
        <f>+'INVENTARIO ABRIL-JUNIO 2021'!$H811-'INVENTARIO ABRIL-JUNIO 2021'!$I811</f>
        <v>0</v>
      </c>
      <c r="K811" s="63"/>
      <c r="L811" s="63"/>
      <c r="M811" s="63"/>
      <c r="N811" s="63"/>
      <c r="O811" s="125"/>
      <c r="P811" s="63"/>
      <c r="Q811" s="63"/>
      <c r="R811" s="63"/>
      <c r="S811" s="63"/>
      <c r="T811" s="63"/>
      <c r="U811" s="63">
        <f>+Tabla1[[#This Row],[STOCK    FISICO ENERO 2021]]-Tabla1[[#This Row],[REQUISICIONES FEBRERO 2021]]</f>
        <v>0</v>
      </c>
      <c r="V811" s="63">
        <f>+Tabla1[[#This Row],[STOCK  FEBRERO 2021]]-Tabla1[[#This Row],[REQUISICIONES MARZO 2021]]+Tabla1[[#This Row],[ENTRADAS MARZO 2021]]</f>
        <v>0</v>
      </c>
      <c r="W811" s="63">
        <f>+Tabla1[[#This Row],[STOCK MARZO 2021]]-Tabla1[[#This Row],[REQUISICIONES ABRIL 2021]]+Tabla1[[#This Row],[ENTRADAS ABRIL 2021]]</f>
        <v>0</v>
      </c>
      <c r="X811" s="63">
        <f>+Tabla1[[#This Row],[STOCK ABRIL 2021]]-Tabla1[[#This Row],[REQUISICIONES MAYO 2021]]+Tabla1[[#This Row],[ENTRADAS MAYO 2021]]</f>
        <v>0</v>
      </c>
      <c r="Y811" s="63">
        <f>+Tabla1[[#This Row],[STOCK MAYO 2021]]-Tabla1[[#This Row],[REQUISICIONES JUNIO 2021]]+Tabla1[[#This Row],[ENTRADAS JUNIO 2021]]</f>
        <v>0</v>
      </c>
      <c r="Z811" s="30" t="s">
        <v>12</v>
      </c>
      <c r="AA811" s="34">
        <v>3148.8</v>
      </c>
      <c r="AB811" s="35">
        <f t="shared" si="36"/>
        <v>3715.5840000000003</v>
      </c>
      <c r="AC811" s="93">
        <f>Tabla1[[#This Row],[STOCK JUNIO ]]*Tabla1[[#This Row],[COSTO UNITARIO SIN ITBIS]]</f>
        <v>0</v>
      </c>
    </row>
    <row r="812" spans="1:29" s="8" customFormat="1" x14ac:dyDescent="0.25">
      <c r="A812" s="265">
        <v>17</v>
      </c>
      <c r="B812" s="31">
        <v>44168</v>
      </c>
      <c r="C812" s="13" t="s">
        <v>11</v>
      </c>
      <c r="D812" s="31">
        <v>44151</v>
      </c>
      <c r="E812" s="137"/>
      <c r="F812" s="28">
        <v>1306</v>
      </c>
      <c r="G812" s="32" t="s">
        <v>800</v>
      </c>
      <c r="H812" s="63">
        <v>19</v>
      </c>
      <c r="I812" s="63"/>
      <c r="J812" s="63">
        <f>+'INVENTARIO ABRIL-JUNIO 2021'!$H812-'INVENTARIO ABRIL-JUNIO 2021'!$I812</f>
        <v>19</v>
      </c>
      <c r="K812" s="63"/>
      <c r="L812" s="63"/>
      <c r="M812" s="63"/>
      <c r="N812" s="63"/>
      <c r="O812" s="125"/>
      <c r="P812" s="63">
        <v>2</v>
      </c>
      <c r="Q812" s="63"/>
      <c r="R812" s="63">
        <v>2</v>
      </c>
      <c r="S812" s="63"/>
      <c r="T812" s="63">
        <v>1</v>
      </c>
      <c r="U812" s="63">
        <f>+Tabla1[[#This Row],[STOCK    FISICO ENERO 2021]]-Tabla1[[#This Row],[REQUISICIONES FEBRERO 2021]]</f>
        <v>17</v>
      </c>
      <c r="V812" s="63">
        <f>+Tabla1[[#This Row],[STOCK  FEBRERO 2021]]-Tabla1[[#This Row],[REQUISICIONES MARZO 2021]]+Tabla1[[#This Row],[ENTRADAS MARZO 2021]]</f>
        <v>17</v>
      </c>
      <c r="W812" s="63">
        <f>+Tabla1[[#This Row],[STOCK MARZO 2021]]-Tabla1[[#This Row],[REQUISICIONES ABRIL 2021]]+Tabla1[[#This Row],[ENTRADAS ABRIL 2021]]</f>
        <v>15</v>
      </c>
      <c r="X812" s="63">
        <f>+Tabla1[[#This Row],[STOCK ABRIL 2021]]-Tabla1[[#This Row],[REQUISICIONES MAYO 2021]]+Tabla1[[#This Row],[ENTRADAS MAYO 2021]]</f>
        <v>15</v>
      </c>
      <c r="Y812" s="63">
        <f>+Tabla1[[#This Row],[STOCK MAYO 2021]]-Tabla1[[#This Row],[REQUISICIONES JUNIO 2021]]+Tabla1[[#This Row],[ENTRADAS JUNIO 2021]]</f>
        <v>14</v>
      </c>
      <c r="Z812" s="30" t="s">
        <v>12</v>
      </c>
      <c r="AA812" s="34">
        <v>200</v>
      </c>
      <c r="AB812" s="35">
        <f t="shared" si="36"/>
        <v>236</v>
      </c>
      <c r="AC812" s="93">
        <f>Tabla1[[#This Row],[STOCK JUNIO ]]*Tabla1[[#This Row],[COSTO UNITARIO SIN ITBIS]]</f>
        <v>2800</v>
      </c>
    </row>
    <row r="813" spans="1:29" s="8" customFormat="1" x14ac:dyDescent="0.25">
      <c r="A813" s="265">
        <v>18</v>
      </c>
      <c r="B813" s="74">
        <v>44027</v>
      </c>
      <c r="C813" s="13" t="s">
        <v>11</v>
      </c>
      <c r="D813" s="74">
        <v>44027</v>
      </c>
      <c r="E813" s="145"/>
      <c r="F813" s="13">
        <v>1759</v>
      </c>
      <c r="G813" s="75" t="s">
        <v>689</v>
      </c>
      <c r="H813" s="72">
        <v>2</v>
      </c>
      <c r="I813" s="72"/>
      <c r="J813" s="72">
        <f>+'INVENTARIO ABRIL-JUNIO 2021'!$H813-'INVENTARIO ABRIL-JUNIO 2021'!$I813</f>
        <v>2</v>
      </c>
      <c r="K813" s="72"/>
      <c r="L813" s="72"/>
      <c r="M813" s="72"/>
      <c r="N813" s="72"/>
      <c r="O813" s="296"/>
      <c r="P813" s="72"/>
      <c r="Q813" s="72">
        <v>1</v>
      </c>
      <c r="R813" s="72"/>
      <c r="S813" s="72"/>
      <c r="T813" s="72"/>
      <c r="U813" s="72">
        <f>+Tabla1[[#This Row],[STOCK    FISICO ENERO 2021]]-Tabla1[[#This Row],[REQUISICIONES FEBRERO 2021]]</f>
        <v>2</v>
      </c>
      <c r="V813" s="72">
        <f>+Tabla1[[#This Row],[STOCK  FEBRERO 2021]]-Tabla1[[#This Row],[REQUISICIONES MARZO 2021]]+Tabla1[[#This Row],[ENTRADAS MARZO 2021]]</f>
        <v>1</v>
      </c>
      <c r="W813" s="72">
        <f>+Tabla1[[#This Row],[STOCK MARZO 2021]]-Tabla1[[#This Row],[REQUISICIONES ABRIL 2021]]+Tabla1[[#This Row],[ENTRADAS ABRIL 2021]]</f>
        <v>1</v>
      </c>
      <c r="X813" s="72">
        <f>+Tabla1[[#This Row],[STOCK ABRIL 2021]]-Tabla1[[#This Row],[REQUISICIONES MAYO 2021]]+Tabla1[[#This Row],[ENTRADAS MAYO 2021]]</f>
        <v>1</v>
      </c>
      <c r="Y813" s="72">
        <f>+Tabla1[[#This Row],[STOCK MAYO 2021]]-Tabla1[[#This Row],[REQUISICIONES JUNIO 2021]]+Tabla1[[#This Row],[ENTRADAS JUNIO 2021]]</f>
        <v>1</v>
      </c>
      <c r="Z813" s="73" t="s">
        <v>12</v>
      </c>
      <c r="AA813" s="76">
        <v>364.08</v>
      </c>
      <c r="AB813" s="35">
        <f t="shared" si="36"/>
        <v>429.61439999999999</v>
      </c>
      <c r="AC813" s="93">
        <f>Tabla1[[#This Row],[STOCK JUNIO ]]*Tabla1[[#This Row],[COSTO UNITARIO SIN ITBIS]]</f>
        <v>364.08</v>
      </c>
    </row>
    <row r="814" spans="1:29" s="8" customFormat="1" x14ac:dyDescent="0.25">
      <c r="A814" s="265">
        <v>19</v>
      </c>
      <c r="B814" s="31">
        <v>44028</v>
      </c>
      <c r="C814" s="13" t="s">
        <v>11</v>
      </c>
      <c r="D814" s="31">
        <v>44028</v>
      </c>
      <c r="E814" s="137"/>
      <c r="F814" s="28">
        <v>1819</v>
      </c>
      <c r="G814" s="32" t="s">
        <v>690</v>
      </c>
      <c r="H814" s="63">
        <v>2</v>
      </c>
      <c r="I814" s="63"/>
      <c r="J814" s="63">
        <f>+'INVENTARIO ABRIL-JUNIO 2021'!$H814-'INVENTARIO ABRIL-JUNIO 2021'!$I814</f>
        <v>2</v>
      </c>
      <c r="K814" s="63"/>
      <c r="L814" s="63"/>
      <c r="M814" s="63"/>
      <c r="N814" s="63"/>
      <c r="O814" s="125"/>
      <c r="P814" s="63"/>
      <c r="Q814" s="63"/>
      <c r="R814" s="63"/>
      <c r="S814" s="63"/>
      <c r="T814" s="63"/>
      <c r="U814" s="63">
        <f>+Tabla1[[#This Row],[STOCK    FISICO ENERO 2021]]-Tabla1[[#This Row],[REQUISICIONES FEBRERO 2021]]</f>
        <v>2</v>
      </c>
      <c r="V814" s="63">
        <f>+Tabla1[[#This Row],[STOCK  FEBRERO 2021]]-Tabla1[[#This Row],[REQUISICIONES MARZO 2021]]+Tabla1[[#This Row],[ENTRADAS MARZO 2021]]</f>
        <v>2</v>
      </c>
      <c r="W814" s="63">
        <f>+Tabla1[[#This Row],[STOCK MARZO 2021]]-Tabla1[[#This Row],[REQUISICIONES ABRIL 2021]]+Tabla1[[#This Row],[ENTRADAS ABRIL 2021]]</f>
        <v>2</v>
      </c>
      <c r="X814" s="63">
        <f>+Tabla1[[#This Row],[STOCK ABRIL 2021]]-Tabla1[[#This Row],[REQUISICIONES MAYO 2021]]+Tabla1[[#This Row],[ENTRADAS MAYO 2021]]</f>
        <v>2</v>
      </c>
      <c r="Y814" s="63">
        <f>+Tabla1[[#This Row],[STOCK MAYO 2021]]-Tabla1[[#This Row],[REQUISICIONES JUNIO 2021]]+Tabla1[[#This Row],[ENTRADAS JUNIO 2021]]</f>
        <v>2</v>
      </c>
      <c r="Z814" s="30" t="s">
        <v>105</v>
      </c>
      <c r="AA814" s="34">
        <v>136.80000000000001</v>
      </c>
      <c r="AB814" s="35">
        <f t="shared" si="36"/>
        <v>161.42400000000001</v>
      </c>
      <c r="AC814" s="93">
        <f>Tabla1[[#This Row],[STOCK JUNIO ]]*Tabla1[[#This Row],[COSTO UNITARIO SIN ITBIS]]</f>
        <v>273.60000000000002</v>
      </c>
    </row>
    <row r="815" spans="1:29" s="8" customFormat="1" x14ac:dyDescent="0.25">
      <c r="A815" s="265">
        <v>20</v>
      </c>
      <c r="B815" s="31">
        <v>44027</v>
      </c>
      <c r="C815" s="13" t="s">
        <v>11</v>
      </c>
      <c r="D815" s="31">
        <v>44027</v>
      </c>
      <c r="E815" s="137"/>
      <c r="F815" s="28">
        <v>1754</v>
      </c>
      <c r="G815" s="32" t="s">
        <v>593</v>
      </c>
      <c r="H815" s="63">
        <v>1</v>
      </c>
      <c r="I815" s="63"/>
      <c r="J815" s="63">
        <f>+'INVENTARIO ABRIL-JUNIO 2021'!$H815-'INVENTARIO ABRIL-JUNIO 2021'!$I815</f>
        <v>1</v>
      </c>
      <c r="K815" s="63"/>
      <c r="L815" s="63"/>
      <c r="M815" s="63"/>
      <c r="N815" s="63"/>
      <c r="O815" s="125"/>
      <c r="P815" s="63"/>
      <c r="Q815" s="63"/>
      <c r="R815" s="63"/>
      <c r="S815" s="63"/>
      <c r="T815" s="63"/>
      <c r="U815" s="63">
        <f>+Tabla1[[#This Row],[STOCK    FISICO ENERO 2021]]-Tabla1[[#This Row],[REQUISICIONES FEBRERO 2021]]</f>
        <v>1</v>
      </c>
      <c r="V815" s="63">
        <f>+Tabla1[[#This Row],[STOCK  FEBRERO 2021]]-Tabla1[[#This Row],[REQUISICIONES MARZO 2021]]+Tabla1[[#This Row],[ENTRADAS MARZO 2021]]</f>
        <v>1</v>
      </c>
      <c r="W815" s="63">
        <f>+Tabla1[[#This Row],[STOCK MARZO 2021]]-Tabla1[[#This Row],[REQUISICIONES ABRIL 2021]]+Tabla1[[#This Row],[ENTRADAS ABRIL 2021]]</f>
        <v>1</v>
      </c>
      <c r="X815" s="63">
        <f>+Tabla1[[#This Row],[STOCK ABRIL 2021]]-Tabla1[[#This Row],[REQUISICIONES MAYO 2021]]+Tabla1[[#This Row],[ENTRADAS MAYO 2021]]</f>
        <v>1</v>
      </c>
      <c r="Y815" s="63">
        <f>+Tabla1[[#This Row],[STOCK MAYO 2021]]-Tabla1[[#This Row],[REQUISICIONES JUNIO 2021]]+Tabla1[[#This Row],[ENTRADAS JUNIO 2021]]</f>
        <v>1</v>
      </c>
      <c r="Z815" s="30" t="s">
        <v>12</v>
      </c>
      <c r="AA815" s="34">
        <v>1141.44</v>
      </c>
      <c r="AB815" s="35">
        <f t="shared" si="36"/>
        <v>1346.8992000000001</v>
      </c>
      <c r="AC815" s="93">
        <f>Tabla1[[#This Row],[STOCK JUNIO ]]*Tabla1[[#This Row],[COSTO UNITARIO SIN ITBIS]]</f>
        <v>1141.44</v>
      </c>
    </row>
    <row r="816" spans="1:29" s="8" customFormat="1" x14ac:dyDescent="0.25">
      <c r="A816" s="265">
        <v>21</v>
      </c>
      <c r="B816" s="31">
        <v>44027</v>
      </c>
      <c r="C816" s="13" t="s">
        <v>11</v>
      </c>
      <c r="D816" s="31">
        <v>44027</v>
      </c>
      <c r="E816" s="137"/>
      <c r="F816" s="28">
        <v>1755</v>
      </c>
      <c r="G816" s="32" t="s">
        <v>594</v>
      </c>
      <c r="H816" s="63">
        <v>2</v>
      </c>
      <c r="I816" s="63"/>
      <c r="J816" s="63">
        <f>+'INVENTARIO ABRIL-JUNIO 2021'!$H816-'INVENTARIO ABRIL-JUNIO 2021'!$I816</f>
        <v>2</v>
      </c>
      <c r="K816" s="63"/>
      <c r="L816" s="63"/>
      <c r="M816" s="63"/>
      <c r="N816" s="63"/>
      <c r="O816" s="125"/>
      <c r="P816" s="63"/>
      <c r="Q816" s="63"/>
      <c r="R816" s="63"/>
      <c r="S816" s="63"/>
      <c r="T816" s="63"/>
      <c r="U816" s="63">
        <f>+Tabla1[[#This Row],[STOCK    FISICO ENERO 2021]]-Tabla1[[#This Row],[REQUISICIONES FEBRERO 2021]]</f>
        <v>2</v>
      </c>
      <c r="V816" s="63">
        <f>+Tabla1[[#This Row],[STOCK  FEBRERO 2021]]-Tabla1[[#This Row],[REQUISICIONES MARZO 2021]]+Tabla1[[#This Row],[ENTRADAS MARZO 2021]]</f>
        <v>2</v>
      </c>
      <c r="W816" s="63">
        <f>+Tabla1[[#This Row],[STOCK MARZO 2021]]-Tabla1[[#This Row],[REQUISICIONES ABRIL 2021]]+Tabla1[[#This Row],[ENTRADAS ABRIL 2021]]</f>
        <v>2</v>
      </c>
      <c r="X816" s="63">
        <f>+Tabla1[[#This Row],[STOCK ABRIL 2021]]-Tabla1[[#This Row],[REQUISICIONES MAYO 2021]]+Tabla1[[#This Row],[ENTRADAS MAYO 2021]]</f>
        <v>2</v>
      </c>
      <c r="Y816" s="63">
        <f>+Tabla1[[#This Row],[STOCK MAYO 2021]]-Tabla1[[#This Row],[REQUISICIONES JUNIO 2021]]+Tabla1[[#This Row],[ENTRADAS JUNIO 2021]]</f>
        <v>2</v>
      </c>
      <c r="Z816" s="30" t="s">
        <v>12</v>
      </c>
      <c r="AA816" s="34">
        <v>1672.8</v>
      </c>
      <c r="AB816" s="35">
        <f t="shared" si="36"/>
        <v>1973.904</v>
      </c>
      <c r="AC816" s="93">
        <f>Tabla1[[#This Row],[STOCK JUNIO ]]*Tabla1[[#This Row],[COSTO UNITARIO SIN ITBIS]]</f>
        <v>3345.6</v>
      </c>
    </row>
    <row r="817" spans="1:29" s="8" customFormat="1" x14ac:dyDescent="0.25">
      <c r="A817" s="265">
        <v>22</v>
      </c>
      <c r="B817" s="74">
        <v>44027</v>
      </c>
      <c r="C817" s="13" t="s">
        <v>11</v>
      </c>
      <c r="D817" s="74">
        <v>44027</v>
      </c>
      <c r="E817" s="145"/>
      <c r="F817" s="13">
        <v>1756</v>
      </c>
      <c r="G817" s="75" t="s">
        <v>595</v>
      </c>
      <c r="H817" s="72">
        <v>1</v>
      </c>
      <c r="I817" s="72"/>
      <c r="J817" s="72">
        <f>+'INVENTARIO ABRIL-JUNIO 2021'!$H817-'INVENTARIO ABRIL-JUNIO 2021'!$I817</f>
        <v>1</v>
      </c>
      <c r="K817" s="72"/>
      <c r="L817" s="72"/>
      <c r="M817" s="72"/>
      <c r="N817" s="72"/>
      <c r="O817" s="296"/>
      <c r="P817" s="72"/>
      <c r="Q817" s="72"/>
      <c r="R817" s="72"/>
      <c r="S817" s="72"/>
      <c r="T817" s="72"/>
      <c r="U817" s="72">
        <f>+Tabla1[[#This Row],[STOCK    FISICO ENERO 2021]]-Tabla1[[#This Row],[REQUISICIONES FEBRERO 2021]]</f>
        <v>1</v>
      </c>
      <c r="V817" s="72">
        <f>+Tabla1[[#This Row],[STOCK  FEBRERO 2021]]-Tabla1[[#This Row],[REQUISICIONES MARZO 2021]]+Tabla1[[#This Row],[ENTRADAS MARZO 2021]]</f>
        <v>1</v>
      </c>
      <c r="W817" s="72">
        <f>+Tabla1[[#This Row],[STOCK MARZO 2021]]-Tabla1[[#This Row],[REQUISICIONES ABRIL 2021]]+Tabla1[[#This Row],[ENTRADAS ABRIL 2021]]</f>
        <v>1</v>
      </c>
      <c r="X817" s="72">
        <f>+Tabla1[[#This Row],[STOCK ABRIL 2021]]-Tabla1[[#This Row],[REQUISICIONES MAYO 2021]]+Tabla1[[#This Row],[ENTRADAS MAYO 2021]]</f>
        <v>1</v>
      </c>
      <c r="Y817" s="72">
        <f>+Tabla1[[#This Row],[STOCK MAYO 2021]]-Tabla1[[#This Row],[REQUISICIONES JUNIO 2021]]+Tabla1[[#This Row],[ENTRADAS JUNIO 2021]]</f>
        <v>1</v>
      </c>
      <c r="Z817" s="73" t="s">
        <v>12</v>
      </c>
      <c r="AA817" s="76">
        <v>3296.4</v>
      </c>
      <c r="AB817" s="35">
        <f t="shared" si="36"/>
        <v>3889.752</v>
      </c>
      <c r="AC817" s="93">
        <f>Tabla1[[#This Row],[STOCK JUNIO ]]*Tabla1[[#This Row],[COSTO UNITARIO SIN ITBIS]]</f>
        <v>3296.4</v>
      </c>
    </row>
    <row r="818" spans="1:29" s="8" customFormat="1" x14ac:dyDescent="0.25">
      <c r="A818" s="265">
        <v>23</v>
      </c>
      <c r="B818" s="31">
        <v>44028</v>
      </c>
      <c r="C818" s="13" t="s">
        <v>11</v>
      </c>
      <c r="D818" s="31">
        <v>44028</v>
      </c>
      <c r="E818" s="137"/>
      <c r="F818" s="28">
        <v>1821</v>
      </c>
      <c r="G818" s="32" t="s">
        <v>596</v>
      </c>
      <c r="H818" s="63">
        <v>1</v>
      </c>
      <c r="I818" s="63"/>
      <c r="J818" s="63">
        <f>+'INVENTARIO ABRIL-JUNIO 2021'!$H818-'INVENTARIO ABRIL-JUNIO 2021'!$I818</f>
        <v>1</v>
      </c>
      <c r="K818" s="63"/>
      <c r="L818" s="63"/>
      <c r="M818" s="63"/>
      <c r="N818" s="63"/>
      <c r="O818" s="125"/>
      <c r="P818" s="63"/>
      <c r="Q818" s="63"/>
      <c r="R818" s="63"/>
      <c r="S818" s="63">
        <v>1</v>
      </c>
      <c r="T818" s="63"/>
      <c r="U818" s="63">
        <f>+Tabla1[[#This Row],[STOCK    FISICO ENERO 2021]]-Tabla1[[#This Row],[REQUISICIONES FEBRERO 2021]]</f>
        <v>1</v>
      </c>
      <c r="V818" s="63">
        <f>+Tabla1[[#This Row],[STOCK  FEBRERO 2021]]-Tabla1[[#This Row],[REQUISICIONES MARZO 2021]]+Tabla1[[#This Row],[ENTRADAS MARZO 2021]]</f>
        <v>1</v>
      </c>
      <c r="W818" s="63">
        <f>+Tabla1[[#This Row],[STOCK MARZO 2021]]-Tabla1[[#This Row],[REQUISICIONES ABRIL 2021]]+Tabla1[[#This Row],[ENTRADAS ABRIL 2021]]</f>
        <v>1</v>
      </c>
      <c r="X818" s="63">
        <f>+Tabla1[[#This Row],[STOCK ABRIL 2021]]-Tabla1[[#This Row],[REQUISICIONES MAYO 2021]]+Tabla1[[#This Row],[ENTRADAS MAYO 2021]]</f>
        <v>0</v>
      </c>
      <c r="Y818" s="63">
        <f>+Tabla1[[#This Row],[STOCK MAYO 2021]]-Tabla1[[#This Row],[REQUISICIONES JUNIO 2021]]+Tabla1[[#This Row],[ENTRADAS JUNIO 2021]]</f>
        <v>0</v>
      </c>
      <c r="Z818" s="30" t="s">
        <v>105</v>
      </c>
      <c r="AA818" s="34">
        <v>177.12</v>
      </c>
      <c r="AB818" s="35">
        <f t="shared" si="36"/>
        <v>209.0016</v>
      </c>
      <c r="AC818" s="93">
        <f>Tabla1[[#This Row],[STOCK JUNIO ]]*Tabla1[[#This Row],[COSTO UNITARIO SIN ITBIS]]</f>
        <v>0</v>
      </c>
    </row>
    <row r="819" spans="1:29" s="8" customFormat="1" x14ac:dyDescent="0.25">
      <c r="A819" s="265">
        <v>24</v>
      </c>
      <c r="B819" s="31">
        <v>44028</v>
      </c>
      <c r="C819" s="13" t="s">
        <v>11</v>
      </c>
      <c r="D819" s="31">
        <v>44028</v>
      </c>
      <c r="E819" s="137"/>
      <c r="F819" s="28">
        <v>1779</v>
      </c>
      <c r="G819" s="32" t="s">
        <v>691</v>
      </c>
      <c r="H819" s="63">
        <v>1</v>
      </c>
      <c r="I819" s="63"/>
      <c r="J819" s="63">
        <f>+'INVENTARIO ABRIL-JUNIO 2021'!$H819-'INVENTARIO ABRIL-JUNIO 2021'!$I819</f>
        <v>1</v>
      </c>
      <c r="K819" s="63"/>
      <c r="L819" s="63"/>
      <c r="M819" s="63"/>
      <c r="N819" s="63"/>
      <c r="O819" s="125"/>
      <c r="P819" s="63"/>
      <c r="Q819" s="63">
        <v>1</v>
      </c>
      <c r="R819" s="63"/>
      <c r="S819" s="63"/>
      <c r="T819" s="63"/>
      <c r="U819" s="63">
        <f>+Tabla1[[#This Row],[STOCK    FISICO ENERO 2021]]-Tabla1[[#This Row],[REQUISICIONES FEBRERO 2021]]</f>
        <v>1</v>
      </c>
      <c r="V819" s="63">
        <f>+Tabla1[[#This Row],[STOCK  FEBRERO 2021]]-Tabla1[[#This Row],[REQUISICIONES MARZO 2021]]+Tabla1[[#This Row],[ENTRADAS MARZO 2021]]</f>
        <v>0</v>
      </c>
      <c r="W819" s="63">
        <f>+Tabla1[[#This Row],[STOCK MARZO 2021]]-Tabla1[[#This Row],[REQUISICIONES ABRIL 2021]]+Tabla1[[#This Row],[ENTRADAS ABRIL 2021]]</f>
        <v>0</v>
      </c>
      <c r="X819" s="63">
        <f>+Tabla1[[#This Row],[STOCK ABRIL 2021]]-Tabla1[[#This Row],[REQUISICIONES MAYO 2021]]+Tabla1[[#This Row],[ENTRADAS MAYO 2021]]</f>
        <v>0</v>
      </c>
      <c r="Y819" s="63">
        <f>+Tabla1[[#This Row],[STOCK MAYO 2021]]-Tabla1[[#This Row],[REQUISICIONES JUNIO 2021]]+Tabla1[[#This Row],[ENTRADAS JUNIO 2021]]</f>
        <v>0</v>
      </c>
      <c r="Z819" s="30" t="s">
        <v>105</v>
      </c>
      <c r="AA819" s="34">
        <v>295.2</v>
      </c>
      <c r="AB819" s="35">
        <f t="shared" si="36"/>
        <v>348.33600000000001</v>
      </c>
      <c r="AC819" s="93">
        <f>Tabla1[[#This Row],[STOCK JUNIO ]]*Tabla1[[#This Row],[COSTO UNITARIO SIN ITBIS]]</f>
        <v>0</v>
      </c>
    </row>
    <row r="820" spans="1:29" s="8" customFormat="1" x14ac:dyDescent="0.25">
      <c r="A820" s="265">
        <v>25</v>
      </c>
      <c r="B820" s="31">
        <v>44028</v>
      </c>
      <c r="C820" s="13" t="s">
        <v>11</v>
      </c>
      <c r="D820" s="31">
        <v>44028</v>
      </c>
      <c r="E820" s="137"/>
      <c r="F820" s="28">
        <v>1826</v>
      </c>
      <c r="G820" s="32" t="s">
        <v>597</v>
      </c>
      <c r="H820" s="63">
        <v>2</v>
      </c>
      <c r="I820" s="63"/>
      <c r="J820" s="63">
        <f>+'INVENTARIO ABRIL-JUNIO 2021'!$H820-'INVENTARIO ABRIL-JUNIO 2021'!$I820</f>
        <v>2</v>
      </c>
      <c r="K820" s="63"/>
      <c r="L820" s="63"/>
      <c r="M820" s="63"/>
      <c r="N820" s="63"/>
      <c r="O820" s="125"/>
      <c r="P820" s="63"/>
      <c r="Q820" s="63">
        <v>1</v>
      </c>
      <c r="R820" s="63"/>
      <c r="S820" s="63"/>
      <c r="T820" s="63"/>
      <c r="U820" s="63">
        <f>+Tabla1[[#This Row],[STOCK    FISICO ENERO 2021]]-Tabla1[[#This Row],[REQUISICIONES FEBRERO 2021]]</f>
        <v>2</v>
      </c>
      <c r="V820" s="63">
        <f>+Tabla1[[#This Row],[STOCK  FEBRERO 2021]]-Tabla1[[#This Row],[REQUISICIONES MARZO 2021]]+Tabla1[[#This Row],[ENTRADAS MARZO 2021]]</f>
        <v>1</v>
      </c>
      <c r="W820" s="63">
        <f>+Tabla1[[#This Row],[STOCK MARZO 2021]]-Tabla1[[#This Row],[REQUISICIONES ABRIL 2021]]+Tabla1[[#This Row],[ENTRADAS ABRIL 2021]]</f>
        <v>1</v>
      </c>
      <c r="X820" s="63">
        <f>+Tabla1[[#This Row],[STOCK ABRIL 2021]]-Tabla1[[#This Row],[REQUISICIONES MAYO 2021]]+Tabla1[[#This Row],[ENTRADAS MAYO 2021]]</f>
        <v>1</v>
      </c>
      <c r="Y820" s="63">
        <f>+Tabla1[[#This Row],[STOCK MAYO 2021]]-Tabla1[[#This Row],[REQUISICIONES JUNIO 2021]]+Tabla1[[#This Row],[ENTRADAS JUNIO 2021]]</f>
        <v>1</v>
      </c>
      <c r="Z820" s="30" t="s">
        <v>105</v>
      </c>
      <c r="AA820" s="34">
        <v>354.24</v>
      </c>
      <c r="AB820" s="35">
        <f t="shared" si="36"/>
        <v>418.00319999999999</v>
      </c>
      <c r="AC820" s="93">
        <f>Tabla1[[#This Row],[STOCK JUNIO ]]*Tabla1[[#This Row],[COSTO UNITARIO SIN ITBIS]]</f>
        <v>354.24</v>
      </c>
    </row>
    <row r="821" spans="1:29" s="8" customFormat="1" x14ac:dyDescent="0.25">
      <c r="A821" s="265">
        <v>26</v>
      </c>
      <c r="B821" s="31">
        <v>44028</v>
      </c>
      <c r="C821" s="13" t="s">
        <v>11</v>
      </c>
      <c r="D821" s="31">
        <v>44028</v>
      </c>
      <c r="E821" s="137"/>
      <c r="F821" s="28">
        <v>1820</v>
      </c>
      <c r="G821" s="32" t="s">
        <v>692</v>
      </c>
      <c r="H821" s="63">
        <v>2</v>
      </c>
      <c r="I821" s="63"/>
      <c r="J821" s="63">
        <f>+'INVENTARIO ABRIL-JUNIO 2021'!$H821-'INVENTARIO ABRIL-JUNIO 2021'!$I821</f>
        <v>2</v>
      </c>
      <c r="K821" s="63"/>
      <c r="L821" s="63"/>
      <c r="M821" s="63"/>
      <c r="N821" s="63"/>
      <c r="O821" s="125"/>
      <c r="P821" s="63"/>
      <c r="Q821" s="63"/>
      <c r="R821" s="63"/>
      <c r="S821" s="63"/>
      <c r="T821" s="63"/>
      <c r="U821" s="63">
        <f>+Tabla1[[#This Row],[STOCK    FISICO ENERO 2021]]-Tabla1[[#This Row],[REQUISICIONES FEBRERO 2021]]</f>
        <v>2</v>
      </c>
      <c r="V821" s="63">
        <f>+Tabla1[[#This Row],[STOCK  FEBRERO 2021]]-Tabla1[[#This Row],[REQUISICIONES MARZO 2021]]+Tabla1[[#This Row],[ENTRADAS MARZO 2021]]</f>
        <v>2</v>
      </c>
      <c r="W821" s="63">
        <f>+Tabla1[[#This Row],[STOCK MARZO 2021]]-Tabla1[[#This Row],[REQUISICIONES ABRIL 2021]]+Tabla1[[#This Row],[ENTRADAS ABRIL 2021]]</f>
        <v>2</v>
      </c>
      <c r="X821" s="63">
        <f>+Tabla1[[#This Row],[STOCK ABRIL 2021]]-Tabla1[[#This Row],[REQUISICIONES MAYO 2021]]+Tabla1[[#This Row],[ENTRADAS MAYO 2021]]</f>
        <v>2</v>
      </c>
      <c r="Y821" s="63">
        <f>+Tabla1[[#This Row],[STOCK MAYO 2021]]-Tabla1[[#This Row],[REQUISICIONES JUNIO 2021]]+Tabla1[[#This Row],[ENTRADAS JUNIO 2021]]</f>
        <v>2</v>
      </c>
      <c r="Z821" s="30" t="s">
        <v>105</v>
      </c>
      <c r="AA821" s="34">
        <v>314.88</v>
      </c>
      <c r="AB821" s="35">
        <f t="shared" si="36"/>
        <v>371.55840000000001</v>
      </c>
      <c r="AC821" s="93">
        <f>Tabla1[[#This Row],[STOCK JUNIO ]]*Tabla1[[#This Row],[COSTO UNITARIO SIN ITBIS]]</f>
        <v>629.76</v>
      </c>
    </row>
    <row r="822" spans="1:29" s="8" customFormat="1" x14ac:dyDescent="0.25">
      <c r="A822" s="265">
        <v>27</v>
      </c>
      <c r="B822" s="31">
        <v>44027</v>
      </c>
      <c r="C822" s="13" t="s">
        <v>11</v>
      </c>
      <c r="D822" s="31">
        <v>44027</v>
      </c>
      <c r="E822" s="137"/>
      <c r="F822" s="28">
        <v>1738</v>
      </c>
      <c r="G822" s="32" t="s">
        <v>598</v>
      </c>
      <c r="H822" s="63">
        <v>2</v>
      </c>
      <c r="I822" s="63"/>
      <c r="J822" s="63">
        <f>+'INVENTARIO ABRIL-JUNIO 2021'!$H822-'INVENTARIO ABRIL-JUNIO 2021'!$I822</f>
        <v>2</v>
      </c>
      <c r="K822" s="63"/>
      <c r="L822" s="63"/>
      <c r="M822" s="63"/>
      <c r="N822" s="63"/>
      <c r="O822" s="125"/>
      <c r="P822" s="63"/>
      <c r="Q822" s="63"/>
      <c r="R822" s="63"/>
      <c r="S822" s="63"/>
      <c r="T822" s="63"/>
      <c r="U822" s="63">
        <f>+Tabla1[[#This Row],[STOCK    FISICO ENERO 2021]]-Tabla1[[#This Row],[REQUISICIONES FEBRERO 2021]]</f>
        <v>2</v>
      </c>
      <c r="V822" s="63">
        <f>+Tabla1[[#This Row],[STOCK  FEBRERO 2021]]-Tabla1[[#This Row],[REQUISICIONES MARZO 2021]]+Tabla1[[#This Row],[ENTRADAS MARZO 2021]]</f>
        <v>2</v>
      </c>
      <c r="W822" s="63">
        <f>+Tabla1[[#This Row],[STOCK MARZO 2021]]-Tabla1[[#This Row],[REQUISICIONES ABRIL 2021]]+Tabla1[[#This Row],[ENTRADAS ABRIL 2021]]</f>
        <v>2</v>
      </c>
      <c r="X822" s="63">
        <f>+Tabla1[[#This Row],[STOCK ABRIL 2021]]-Tabla1[[#This Row],[REQUISICIONES MAYO 2021]]+Tabla1[[#This Row],[ENTRADAS MAYO 2021]]</f>
        <v>2</v>
      </c>
      <c r="Y822" s="63">
        <f>+Tabla1[[#This Row],[STOCK MAYO 2021]]-Tabla1[[#This Row],[REQUISICIONES JUNIO 2021]]+Tabla1[[#This Row],[ENTRADAS JUNIO 2021]]</f>
        <v>2</v>
      </c>
      <c r="Z822" s="30" t="s">
        <v>12</v>
      </c>
      <c r="AA822" s="34">
        <v>402</v>
      </c>
      <c r="AB822" s="35">
        <f t="shared" si="36"/>
        <v>474.36</v>
      </c>
      <c r="AC822" s="93">
        <f>Tabla1[[#This Row],[STOCK JUNIO ]]*Tabla1[[#This Row],[COSTO UNITARIO SIN ITBIS]]</f>
        <v>804</v>
      </c>
    </row>
    <row r="823" spans="1:29" s="8" customFormat="1" x14ac:dyDescent="0.25">
      <c r="A823" s="265">
        <v>28</v>
      </c>
      <c r="B823" s="31">
        <v>44027</v>
      </c>
      <c r="C823" s="13" t="s">
        <v>11</v>
      </c>
      <c r="D823" s="31">
        <v>44027</v>
      </c>
      <c r="E823" s="137"/>
      <c r="F823" s="28">
        <v>1736</v>
      </c>
      <c r="G823" s="32" t="s">
        <v>599</v>
      </c>
      <c r="H823" s="63">
        <v>3</v>
      </c>
      <c r="I823" s="63"/>
      <c r="J823" s="63">
        <f>+'INVENTARIO ABRIL-JUNIO 2021'!$H823-'INVENTARIO ABRIL-JUNIO 2021'!$I823</f>
        <v>3</v>
      </c>
      <c r="K823" s="63"/>
      <c r="L823" s="63"/>
      <c r="M823" s="63"/>
      <c r="N823" s="63"/>
      <c r="O823" s="125"/>
      <c r="P823" s="63"/>
      <c r="Q823" s="63"/>
      <c r="R823" s="63"/>
      <c r="S823" s="63"/>
      <c r="T823" s="63"/>
      <c r="U823" s="63">
        <f>+Tabla1[[#This Row],[STOCK    FISICO ENERO 2021]]-Tabla1[[#This Row],[REQUISICIONES FEBRERO 2021]]</f>
        <v>3</v>
      </c>
      <c r="V823" s="63">
        <f>+Tabla1[[#This Row],[STOCK  FEBRERO 2021]]-Tabla1[[#This Row],[REQUISICIONES MARZO 2021]]+Tabla1[[#This Row],[ENTRADAS MARZO 2021]]</f>
        <v>3</v>
      </c>
      <c r="W823" s="63">
        <f>+Tabla1[[#This Row],[STOCK MARZO 2021]]-Tabla1[[#This Row],[REQUISICIONES ABRIL 2021]]+Tabla1[[#This Row],[ENTRADAS ABRIL 2021]]</f>
        <v>3</v>
      </c>
      <c r="X823" s="63">
        <f>+Tabla1[[#This Row],[STOCK ABRIL 2021]]-Tabla1[[#This Row],[REQUISICIONES MAYO 2021]]+Tabla1[[#This Row],[ENTRADAS MAYO 2021]]</f>
        <v>3</v>
      </c>
      <c r="Y823" s="63">
        <f>+Tabla1[[#This Row],[STOCK MAYO 2021]]-Tabla1[[#This Row],[REQUISICIONES JUNIO 2021]]+Tabla1[[#This Row],[ENTRADAS JUNIO 2021]]</f>
        <v>3</v>
      </c>
      <c r="Z823" s="30" t="s">
        <v>12</v>
      </c>
      <c r="AA823" s="34">
        <v>426</v>
      </c>
      <c r="AB823" s="35">
        <f t="shared" si="36"/>
        <v>502.68</v>
      </c>
      <c r="AC823" s="93">
        <f>Tabla1[[#This Row],[STOCK JUNIO ]]*Tabla1[[#This Row],[COSTO UNITARIO SIN ITBIS]]</f>
        <v>1278</v>
      </c>
    </row>
    <row r="824" spans="1:29" s="8" customFormat="1" x14ac:dyDescent="0.25">
      <c r="A824" s="265">
        <v>29</v>
      </c>
      <c r="B824" s="74">
        <v>44028</v>
      </c>
      <c r="C824" s="13" t="s">
        <v>11</v>
      </c>
      <c r="D824" s="74">
        <v>44028</v>
      </c>
      <c r="E824" s="145"/>
      <c r="F824" s="13">
        <v>1771</v>
      </c>
      <c r="G824" s="75" t="s">
        <v>600</v>
      </c>
      <c r="H824" s="72">
        <v>1</v>
      </c>
      <c r="I824" s="72"/>
      <c r="J824" s="72">
        <f>+'INVENTARIO ABRIL-JUNIO 2021'!$H824-'INVENTARIO ABRIL-JUNIO 2021'!$I824</f>
        <v>1</v>
      </c>
      <c r="K824" s="72"/>
      <c r="L824" s="72"/>
      <c r="M824" s="72"/>
      <c r="N824" s="72"/>
      <c r="O824" s="296"/>
      <c r="P824" s="72"/>
      <c r="Q824" s="72"/>
      <c r="R824" s="72"/>
      <c r="S824" s="72"/>
      <c r="T824" s="72"/>
      <c r="U824" s="72">
        <f>+Tabla1[[#This Row],[STOCK    FISICO ENERO 2021]]-Tabla1[[#This Row],[REQUISICIONES FEBRERO 2021]]</f>
        <v>1</v>
      </c>
      <c r="V824" s="72">
        <f>+Tabla1[[#This Row],[STOCK  FEBRERO 2021]]-Tabla1[[#This Row],[REQUISICIONES MARZO 2021]]+Tabla1[[#This Row],[ENTRADAS MARZO 2021]]</f>
        <v>1</v>
      </c>
      <c r="W824" s="72">
        <f>+Tabla1[[#This Row],[STOCK MARZO 2021]]-Tabla1[[#This Row],[REQUISICIONES ABRIL 2021]]+Tabla1[[#This Row],[ENTRADAS ABRIL 2021]]</f>
        <v>1</v>
      </c>
      <c r="X824" s="72">
        <f>+Tabla1[[#This Row],[STOCK ABRIL 2021]]-Tabla1[[#This Row],[REQUISICIONES MAYO 2021]]+Tabla1[[#This Row],[ENTRADAS MAYO 2021]]</f>
        <v>1</v>
      </c>
      <c r="Y824" s="72">
        <f>+Tabla1[[#This Row],[STOCK MAYO 2021]]-Tabla1[[#This Row],[REQUISICIONES JUNIO 2021]]+Tabla1[[#This Row],[ENTRADAS JUNIO 2021]]</f>
        <v>1</v>
      </c>
      <c r="Z824" s="73" t="s">
        <v>105</v>
      </c>
      <c r="AA824" s="76">
        <v>285.36</v>
      </c>
      <c r="AB824" s="35">
        <f t="shared" si="36"/>
        <v>336.72480000000002</v>
      </c>
      <c r="AC824" s="93">
        <f>Tabla1[[#This Row],[STOCK JUNIO ]]*Tabla1[[#This Row],[COSTO UNITARIO SIN ITBIS]]</f>
        <v>285.36</v>
      </c>
    </row>
    <row r="825" spans="1:29" s="8" customFormat="1" x14ac:dyDescent="0.25">
      <c r="A825" s="265">
        <v>30</v>
      </c>
      <c r="B825" s="31">
        <v>44027</v>
      </c>
      <c r="C825" s="13" t="s">
        <v>11</v>
      </c>
      <c r="D825" s="31">
        <v>44027</v>
      </c>
      <c r="E825" s="137"/>
      <c r="F825" s="28">
        <v>1734</v>
      </c>
      <c r="G825" s="32" t="s">
        <v>693</v>
      </c>
      <c r="H825" s="63">
        <v>2</v>
      </c>
      <c r="I825" s="63"/>
      <c r="J825" s="63">
        <f>+'INVENTARIO ABRIL-JUNIO 2021'!$H825-'INVENTARIO ABRIL-JUNIO 2021'!$I825</f>
        <v>2</v>
      </c>
      <c r="K825" s="63"/>
      <c r="L825" s="63"/>
      <c r="M825" s="63"/>
      <c r="N825" s="63"/>
      <c r="O825" s="125"/>
      <c r="P825" s="63"/>
      <c r="Q825" s="63"/>
      <c r="R825" s="63"/>
      <c r="S825" s="63"/>
      <c r="T825" s="63"/>
      <c r="U825" s="63">
        <f>+Tabla1[[#This Row],[STOCK    FISICO ENERO 2021]]-Tabla1[[#This Row],[REQUISICIONES FEBRERO 2021]]</f>
        <v>2</v>
      </c>
      <c r="V825" s="63">
        <f>+Tabla1[[#This Row],[STOCK  FEBRERO 2021]]-Tabla1[[#This Row],[REQUISICIONES MARZO 2021]]+Tabla1[[#This Row],[ENTRADAS MARZO 2021]]</f>
        <v>2</v>
      </c>
      <c r="W825" s="63">
        <f>+Tabla1[[#This Row],[STOCK MARZO 2021]]-Tabla1[[#This Row],[REQUISICIONES ABRIL 2021]]+Tabla1[[#This Row],[ENTRADAS ABRIL 2021]]</f>
        <v>2</v>
      </c>
      <c r="X825" s="63">
        <f>+Tabla1[[#This Row],[STOCK ABRIL 2021]]-Tabla1[[#This Row],[REQUISICIONES MAYO 2021]]+Tabla1[[#This Row],[ENTRADAS MAYO 2021]]</f>
        <v>2</v>
      </c>
      <c r="Y825" s="63">
        <f>+Tabla1[[#This Row],[STOCK MAYO 2021]]-Tabla1[[#This Row],[REQUISICIONES JUNIO 2021]]+Tabla1[[#This Row],[ENTRADAS JUNIO 2021]]</f>
        <v>2</v>
      </c>
      <c r="Z825" s="30" t="s">
        <v>12</v>
      </c>
      <c r="AA825" s="34">
        <v>672</v>
      </c>
      <c r="AB825" s="35">
        <f t="shared" si="36"/>
        <v>792.96</v>
      </c>
      <c r="AC825" s="93">
        <f>Tabla1[[#This Row],[STOCK JUNIO ]]*Tabla1[[#This Row],[COSTO UNITARIO SIN ITBIS]]</f>
        <v>1344</v>
      </c>
    </row>
    <row r="826" spans="1:29" s="8" customFormat="1" x14ac:dyDescent="0.25">
      <c r="A826" s="265">
        <v>31</v>
      </c>
      <c r="B826" s="31">
        <v>44028</v>
      </c>
      <c r="C826" s="13" t="s">
        <v>11</v>
      </c>
      <c r="D826" s="31">
        <v>44028</v>
      </c>
      <c r="E826" s="137"/>
      <c r="F826" s="28">
        <v>1793</v>
      </c>
      <c r="G826" s="32" t="s">
        <v>601</v>
      </c>
      <c r="H826" s="63">
        <v>1</v>
      </c>
      <c r="I826" s="63"/>
      <c r="J826" s="63">
        <f>+'INVENTARIO ABRIL-JUNIO 2021'!$H826-'INVENTARIO ABRIL-JUNIO 2021'!$I826</f>
        <v>1</v>
      </c>
      <c r="K826" s="63"/>
      <c r="L826" s="63"/>
      <c r="M826" s="63"/>
      <c r="N826" s="63"/>
      <c r="O826" s="125"/>
      <c r="P826" s="63"/>
      <c r="Q826" s="63"/>
      <c r="R826" s="63"/>
      <c r="S826" s="63"/>
      <c r="T826" s="63"/>
      <c r="U826" s="63">
        <f>+Tabla1[[#This Row],[STOCK    FISICO ENERO 2021]]-Tabla1[[#This Row],[REQUISICIONES FEBRERO 2021]]</f>
        <v>1</v>
      </c>
      <c r="V826" s="63">
        <f>+Tabla1[[#This Row],[STOCK  FEBRERO 2021]]-Tabla1[[#This Row],[REQUISICIONES MARZO 2021]]+Tabla1[[#This Row],[ENTRADAS MARZO 2021]]</f>
        <v>1</v>
      </c>
      <c r="W826" s="63">
        <f>+Tabla1[[#This Row],[STOCK MARZO 2021]]-Tabla1[[#This Row],[REQUISICIONES ABRIL 2021]]+Tabla1[[#This Row],[ENTRADAS ABRIL 2021]]</f>
        <v>1</v>
      </c>
      <c r="X826" s="63">
        <f>+Tabla1[[#This Row],[STOCK ABRIL 2021]]-Tabla1[[#This Row],[REQUISICIONES MAYO 2021]]+Tabla1[[#This Row],[ENTRADAS MAYO 2021]]</f>
        <v>1</v>
      </c>
      <c r="Y826" s="63">
        <f>+Tabla1[[#This Row],[STOCK MAYO 2021]]-Tabla1[[#This Row],[REQUISICIONES JUNIO 2021]]+Tabla1[[#This Row],[ENTRADAS JUNIO 2021]]</f>
        <v>1</v>
      </c>
      <c r="Z826" s="30" t="s">
        <v>105</v>
      </c>
      <c r="AA826" s="34">
        <v>1082.4000000000001</v>
      </c>
      <c r="AB826" s="35">
        <f t="shared" si="36"/>
        <v>1277.2320000000002</v>
      </c>
      <c r="AC826" s="93">
        <f>Tabla1[[#This Row],[STOCK JUNIO ]]*Tabla1[[#This Row],[COSTO UNITARIO SIN ITBIS]]</f>
        <v>1082.4000000000001</v>
      </c>
    </row>
    <row r="827" spans="1:29" s="8" customFormat="1" x14ac:dyDescent="0.25">
      <c r="A827" s="265">
        <v>32</v>
      </c>
      <c r="B827" s="31">
        <v>44027</v>
      </c>
      <c r="C827" s="13" t="s">
        <v>11</v>
      </c>
      <c r="D827" s="31">
        <v>44027</v>
      </c>
      <c r="E827" s="137"/>
      <c r="F827" s="28">
        <v>1735</v>
      </c>
      <c r="G827" s="32" t="s">
        <v>602</v>
      </c>
      <c r="H827" s="63">
        <v>4</v>
      </c>
      <c r="I827" s="63"/>
      <c r="J827" s="63">
        <f>+'INVENTARIO ABRIL-JUNIO 2021'!$H827-'INVENTARIO ABRIL-JUNIO 2021'!$I827</f>
        <v>4</v>
      </c>
      <c r="K827" s="63"/>
      <c r="L827" s="63"/>
      <c r="M827" s="63"/>
      <c r="N827" s="63"/>
      <c r="O827" s="125"/>
      <c r="P827" s="63"/>
      <c r="Q827" s="63"/>
      <c r="R827" s="63"/>
      <c r="S827" s="63"/>
      <c r="T827" s="63"/>
      <c r="U827" s="63">
        <f>+Tabla1[[#This Row],[STOCK    FISICO ENERO 2021]]-Tabla1[[#This Row],[REQUISICIONES FEBRERO 2021]]</f>
        <v>4</v>
      </c>
      <c r="V827" s="63">
        <f>+Tabla1[[#This Row],[STOCK  FEBRERO 2021]]-Tabla1[[#This Row],[REQUISICIONES MARZO 2021]]+Tabla1[[#This Row],[ENTRADAS MARZO 2021]]</f>
        <v>4</v>
      </c>
      <c r="W827" s="63">
        <f>+Tabla1[[#This Row],[STOCK MARZO 2021]]-Tabla1[[#This Row],[REQUISICIONES ABRIL 2021]]+Tabla1[[#This Row],[ENTRADAS ABRIL 2021]]</f>
        <v>4</v>
      </c>
      <c r="X827" s="63">
        <f>+Tabla1[[#This Row],[STOCK ABRIL 2021]]-Tabla1[[#This Row],[REQUISICIONES MAYO 2021]]+Tabla1[[#This Row],[ENTRADAS MAYO 2021]]</f>
        <v>4</v>
      </c>
      <c r="Y827" s="63">
        <f>+Tabla1[[#This Row],[STOCK MAYO 2021]]-Tabla1[[#This Row],[REQUISICIONES JUNIO 2021]]+Tabla1[[#This Row],[ENTRADAS JUNIO 2021]]</f>
        <v>4</v>
      </c>
      <c r="Z827" s="30" t="s">
        <v>12</v>
      </c>
      <c r="AA827" s="34">
        <v>203.39</v>
      </c>
      <c r="AB827" s="35">
        <f t="shared" si="36"/>
        <v>240.00019999999998</v>
      </c>
      <c r="AC827" s="93">
        <f>Tabla1[[#This Row],[STOCK JUNIO ]]*Tabla1[[#This Row],[COSTO UNITARIO SIN ITBIS]]</f>
        <v>813.56</v>
      </c>
    </row>
    <row r="828" spans="1:29" s="8" customFormat="1" x14ac:dyDescent="0.25">
      <c r="A828" s="265">
        <v>33</v>
      </c>
      <c r="B828" s="31">
        <v>44110</v>
      </c>
      <c r="C828" s="13" t="s">
        <v>11</v>
      </c>
      <c r="D828" s="31">
        <v>44110</v>
      </c>
      <c r="E828" s="137"/>
      <c r="F828" s="28" t="s">
        <v>20</v>
      </c>
      <c r="G828" s="32" t="s">
        <v>603</v>
      </c>
      <c r="H828" s="63">
        <v>3</v>
      </c>
      <c r="I828" s="63"/>
      <c r="J828" s="63">
        <f>+'INVENTARIO ABRIL-JUNIO 2021'!$H828-'INVENTARIO ABRIL-JUNIO 2021'!$I828</f>
        <v>3</v>
      </c>
      <c r="K828" s="63"/>
      <c r="L828" s="63"/>
      <c r="M828" s="63"/>
      <c r="N828" s="63"/>
      <c r="O828" s="125"/>
      <c r="P828" s="63"/>
      <c r="Q828" s="63"/>
      <c r="R828" s="63"/>
      <c r="S828" s="63"/>
      <c r="T828" s="63"/>
      <c r="U828" s="63">
        <f>+Tabla1[[#This Row],[STOCK    FISICO ENERO 2021]]-Tabla1[[#This Row],[REQUISICIONES FEBRERO 2021]]</f>
        <v>3</v>
      </c>
      <c r="V828" s="63">
        <f>+Tabla1[[#This Row],[STOCK  FEBRERO 2021]]-Tabla1[[#This Row],[REQUISICIONES MARZO 2021]]+Tabla1[[#This Row],[ENTRADAS MARZO 2021]]</f>
        <v>3</v>
      </c>
      <c r="W828" s="63">
        <f>+Tabla1[[#This Row],[STOCK MARZO 2021]]-Tabla1[[#This Row],[REQUISICIONES ABRIL 2021]]+Tabla1[[#This Row],[ENTRADAS ABRIL 2021]]</f>
        <v>3</v>
      </c>
      <c r="X828" s="63">
        <f>+Tabla1[[#This Row],[STOCK ABRIL 2021]]-Tabla1[[#This Row],[REQUISICIONES MAYO 2021]]+Tabla1[[#This Row],[ENTRADAS MAYO 2021]]</f>
        <v>3</v>
      </c>
      <c r="Y828" s="63">
        <f>+Tabla1[[#This Row],[STOCK MAYO 2021]]-Tabla1[[#This Row],[REQUISICIONES JUNIO 2021]]+Tabla1[[#This Row],[ENTRADAS JUNIO 2021]]</f>
        <v>3</v>
      </c>
      <c r="Z828" s="30" t="s">
        <v>12</v>
      </c>
      <c r="AA828" s="34">
        <v>282.48</v>
      </c>
      <c r="AB828" s="35">
        <f t="shared" si="36"/>
        <v>333.32640000000004</v>
      </c>
      <c r="AC828" s="93">
        <f>Tabla1[[#This Row],[STOCK JUNIO ]]*Tabla1[[#This Row],[COSTO UNITARIO SIN ITBIS]]</f>
        <v>847.44</v>
      </c>
    </row>
    <row r="829" spans="1:29" s="8" customFormat="1" x14ac:dyDescent="0.25">
      <c r="A829" s="265">
        <v>34</v>
      </c>
      <c r="B829" s="31">
        <v>44168</v>
      </c>
      <c r="C829" s="13" t="s">
        <v>11</v>
      </c>
      <c r="D829" s="31">
        <v>44153</v>
      </c>
      <c r="E829" s="137"/>
      <c r="F829" s="28">
        <v>1790</v>
      </c>
      <c r="G829" s="32" t="s">
        <v>604</v>
      </c>
      <c r="H829" s="63">
        <v>1</v>
      </c>
      <c r="I829" s="63"/>
      <c r="J829" s="63">
        <f>+'INVENTARIO ABRIL-JUNIO 2021'!$H829-'INVENTARIO ABRIL-JUNIO 2021'!$I829</f>
        <v>1</v>
      </c>
      <c r="K829" s="63"/>
      <c r="L829" s="63"/>
      <c r="M829" s="63"/>
      <c r="N829" s="63"/>
      <c r="O829" s="125"/>
      <c r="P829" s="63"/>
      <c r="Q829" s="63"/>
      <c r="R829" s="63"/>
      <c r="S829" s="63"/>
      <c r="T829" s="63"/>
      <c r="U829" s="63">
        <f>+Tabla1[[#This Row],[STOCK    FISICO ENERO 2021]]-Tabla1[[#This Row],[REQUISICIONES FEBRERO 2021]]</f>
        <v>1</v>
      </c>
      <c r="V829" s="63">
        <f>+Tabla1[[#This Row],[STOCK  FEBRERO 2021]]-Tabla1[[#This Row],[REQUISICIONES MARZO 2021]]+Tabla1[[#This Row],[ENTRADAS MARZO 2021]]</f>
        <v>1</v>
      </c>
      <c r="W829" s="63">
        <f>+Tabla1[[#This Row],[STOCK MARZO 2021]]-Tabla1[[#This Row],[REQUISICIONES ABRIL 2021]]+Tabla1[[#This Row],[ENTRADAS ABRIL 2021]]</f>
        <v>1</v>
      </c>
      <c r="X829" s="63">
        <f>+Tabla1[[#This Row],[STOCK ABRIL 2021]]-Tabla1[[#This Row],[REQUISICIONES MAYO 2021]]+Tabla1[[#This Row],[ENTRADAS MAYO 2021]]</f>
        <v>1</v>
      </c>
      <c r="Y829" s="63">
        <f>+Tabla1[[#This Row],[STOCK MAYO 2021]]-Tabla1[[#This Row],[REQUISICIONES JUNIO 2021]]+Tabla1[[#This Row],[ENTRADAS JUNIO 2021]]</f>
        <v>1</v>
      </c>
      <c r="Z829" s="30" t="s">
        <v>105</v>
      </c>
      <c r="AA829" s="34">
        <v>2058</v>
      </c>
      <c r="AB829" s="35">
        <f t="shared" si="36"/>
        <v>2428.44</v>
      </c>
      <c r="AC829" s="93">
        <f>Tabla1[[#This Row],[STOCK JUNIO ]]*Tabla1[[#This Row],[COSTO UNITARIO SIN ITBIS]]</f>
        <v>2058</v>
      </c>
    </row>
    <row r="830" spans="1:29" s="8" customFormat="1" x14ac:dyDescent="0.25">
      <c r="A830" s="265">
        <v>35</v>
      </c>
      <c r="B830" s="31">
        <v>44027</v>
      </c>
      <c r="C830" s="13" t="s">
        <v>11</v>
      </c>
      <c r="D830" s="31">
        <v>44027</v>
      </c>
      <c r="E830" s="137"/>
      <c r="F830" s="28">
        <v>1747</v>
      </c>
      <c r="G830" s="32" t="s">
        <v>605</v>
      </c>
      <c r="H830" s="63">
        <v>1</v>
      </c>
      <c r="I830" s="63"/>
      <c r="J830" s="63">
        <f>+'INVENTARIO ABRIL-JUNIO 2021'!$H830-'INVENTARIO ABRIL-JUNIO 2021'!$I830</f>
        <v>1</v>
      </c>
      <c r="K830" s="63"/>
      <c r="L830" s="63"/>
      <c r="M830" s="63"/>
      <c r="N830" s="63"/>
      <c r="O830" s="125"/>
      <c r="P830" s="63"/>
      <c r="Q830" s="63"/>
      <c r="R830" s="63"/>
      <c r="S830" s="63"/>
      <c r="T830" s="63"/>
      <c r="U830" s="63">
        <f>+Tabla1[[#This Row],[STOCK    FISICO ENERO 2021]]-Tabla1[[#This Row],[REQUISICIONES FEBRERO 2021]]</f>
        <v>1</v>
      </c>
      <c r="V830" s="63">
        <f>+Tabla1[[#This Row],[STOCK  FEBRERO 2021]]-Tabla1[[#This Row],[REQUISICIONES MARZO 2021]]+Tabla1[[#This Row],[ENTRADAS MARZO 2021]]</f>
        <v>1</v>
      </c>
      <c r="W830" s="63">
        <f>+Tabla1[[#This Row],[STOCK MARZO 2021]]-Tabla1[[#This Row],[REQUISICIONES ABRIL 2021]]+Tabla1[[#This Row],[ENTRADAS ABRIL 2021]]</f>
        <v>1</v>
      </c>
      <c r="X830" s="63">
        <f>+Tabla1[[#This Row],[STOCK ABRIL 2021]]-Tabla1[[#This Row],[REQUISICIONES MAYO 2021]]+Tabla1[[#This Row],[ENTRADAS MAYO 2021]]</f>
        <v>1</v>
      </c>
      <c r="Y830" s="63">
        <f>+Tabla1[[#This Row],[STOCK MAYO 2021]]-Tabla1[[#This Row],[REQUISICIONES JUNIO 2021]]+Tabla1[[#This Row],[ENTRADAS JUNIO 2021]]</f>
        <v>1</v>
      </c>
      <c r="Z830" s="30" t="s">
        <v>12</v>
      </c>
      <c r="AA830" s="34">
        <v>1771.2</v>
      </c>
      <c r="AB830" s="35">
        <f t="shared" si="36"/>
        <v>2090.0160000000001</v>
      </c>
      <c r="AC830" s="93">
        <f>Tabla1[[#This Row],[STOCK JUNIO ]]*Tabla1[[#This Row],[COSTO UNITARIO SIN ITBIS]]</f>
        <v>1771.2</v>
      </c>
    </row>
    <row r="831" spans="1:29" s="8" customFormat="1" x14ac:dyDescent="0.25">
      <c r="A831" s="265">
        <v>36</v>
      </c>
      <c r="B831" s="74">
        <v>44028</v>
      </c>
      <c r="C831" s="13" t="s">
        <v>11</v>
      </c>
      <c r="D831" s="74">
        <v>44028</v>
      </c>
      <c r="E831" s="145"/>
      <c r="F831" s="13">
        <v>1776</v>
      </c>
      <c r="G831" s="75" t="s">
        <v>606</v>
      </c>
      <c r="H831" s="72">
        <v>1</v>
      </c>
      <c r="I831" s="72"/>
      <c r="J831" s="72">
        <f>+'INVENTARIO ABRIL-JUNIO 2021'!$H831-'INVENTARIO ABRIL-JUNIO 2021'!$I831</f>
        <v>1</v>
      </c>
      <c r="K831" s="72"/>
      <c r="L831" s="72"/>
      <c r="M831" s="72"/>
      <c r="N831" s="72"/>
      <c r="O831" s="296"/>
      <c r="P831" s="72"/>
      <c r="Q831" s="72"/>
      <c r="R831" s="72"/>
      <c r="S831" s="72"/>
      <c r="T831" s="72"/>
      <c r="U831" s="72">
        <f>+Tabla1[[#This Row],[STOCK    FISICO ENERO 2021]]-Tabla1[[#This Row],[REQUISICIONES FEBRERO 2021]]</f>
        <v>1</v>
      </c>
      <c r="V831" s="72">
        <f>+Tabla1[[#This Row],[STOCK  FEBRERO 2021]]-Tabla1[[#This Row],[REQUISICIONES MARZO 2021]]+Tabla1[[#This Row],[ENTRADAS MARZO 2021]]</f>
        <v>1</v>
      </c>
      <c r="W831" s="72">
        <f>+Tabla1[[#This Row],[STOCK MARZO 2021]]-Tabla1[[#This Row],[REQUISICIONES ABRIL 2021]]+Tabla1[[#This Row],[ENTRADAS ABRIL 2021]]</f>
        <v>1</v>
      </c>
      <c r="X831" s="72">
        <f>+Tabla1[[#This Row],[STOCK ABRIL 2021]]-Tabla1[[#This Row],[REQUISICIONES MAYO 2021]]+Tabla1[[#This Row],[ENTRADAS MAYO 2021]]</f>
        <v>1</v>
      </c>
      <c r="Y831" s="72">
        <f>+Tabla1[[#This Row],[STOCK MAYO 2021]]-Tabla1[[#This Row],[REQUISICIONES JUNIO 2021]]+Tabla1[[#This Row],[ENTRADAS JUNIO 2021]]</f>
        <v>1</v>
      </c>
      <c r="Z831" s="73" t="s">
        <v>105</v>
      </c>
      <c r="AA831" s="76">
        <v>295.2</v>
      </c>
      <c r="AB831" s="35">
        <f t="shared" si="36"/>
        <v>348.33600000000001</v>
      </c>
      <c r="AC831" s="93">
        <f>Tabla1[[#This Row],[STOCK JUNIO ]]*Tabla1[[#This Row],[COSTO UNITARIO SIN ITBIS]]</f>
        <v>295.2</v>
      </c>
    </row>
    <row r="832" spans="1:29" s="8" customFormat="1" x14ac:dyDescent="0.25">
      <c r="A832" s="265">
        <v>37</v>
      </c>
      <c r="B832" s="31">
        <v>44028</v>
      </c>
      <c r="C832" s="13" t="s">
        <v>11</v>
      </c>
      <c r="D832" s="31">
        <v>44028</v>
      </c>
      <c r="E832" s="137"/>
      <c r="F832" s="28">
        <v>1829</v>
      </c>
      <c r="G832" s="32" t="s">
        <v>694</v>
      </c>
      <c r="H832" s="63">
        <v>1</v>
      </c>
      <c r="I832" s="63"/>
      <c r="J832" s="63">
        <f>+'INVENTARIO ABRIL-JUNIO 2021'!$H832-'INVENTARIO ABRIL-JUNIO 2021'!$I832</f>
        <v>1</v>
      </c>
      <c r="K832" s="63"/>
      <c r="L832" s="63"/>
      <c r="M832" s="63"/>
      <c r="N832" s="63"/>
      <c r="O832" s="125"/>
      <c r="P832" s="63"/>
      <c r="Q832" s="63"/>
      <c r="R832" s="63"/>
      <c r="S832" s="63"/>
      <c r="T832" s="63"/>
      <c r="U832" s="63">
        <f>+Tabla1[[#This Row],[STOCK    FISICO ENERO 2021]]-Tabla1[[#This Row],[REQUISICIONES FEBRERO 2021]]</f>
        <v>1</v>
      </c>
      <c r="V832" s="63">
        <f>+Tabla1[[#This Row],[STOCK  FEBRERO 2021]]-Tabla1[[#This Row],[REQUISICIONES MARZO 2021]]+Tabla1[[#This Row],[ENTRADAS MARZO 2021]]</f>
        <v>1</v>
      </c>
      <c r="W832" s="63">
        <f>+Tabla1[[#This Row],[STOCK MARZO 2021]]-Tabla1[[#This Row],[REQUISICIONES ABRIL 2021]]+Tabla1[[#This Row],[ENTRADAS ABRIL 2021]]</f>
        <v>1</v>
      </c>
      <c r="X832" s="63">
        <f>+Tabla1[[#This Row],[STOCK ABRIL 2021]]-Tabla1[[#This Row],[REQUISICIONES MAYO 2021]]+Tabla1[[#This Row],[ENTRADAS MAYO 2021]]</f>
        <v>1</v>
      </c>
      <c r="Y832" s="63">
        <f>+Tabla1[[#This Row],[STOCK MAYO 2021]]-Tabla1[[#This Row],[REQUISICIONES JUNIO 2021]]+Tabla1[[#This Row],[ENTRADAS JUNIO 2021]]</f>
        <v>1</v>
      </c>
      <c r="Z832" s="30" t="s">
        <v>12</v>
      </c>
      <c r="AA832" s="34">
        <v>290.27999999999997</v>
      </c>
      <c r="AB832" s="35">
        <f t="shared" si="36"/>
        <v>342.53039999999999</v>
      </c>
      <c r="AC832" s="93">
        <f>Tabla1[[#This Row],[STOCK JUNIO ]]*Tabla1[[#This Row],[COSTO UNITARIO SIN ITBIS]]</f>
        <v>290.27999999999997</v>
      </c>
    </row>
    <row r="833" spans="1:29" s="8" customFormat="1" x14ac:dyDescent="0.25">
      <c r="A833" s="265">
        <v>38</v>
      </c>
      <c r="B833" s="31">
        <v>44028</v>
      </c>
      <c r="C833" s="13" t="s">
        <v>11</v>
      </c>
      <c r="D833" s="31">
        <v>44028</v>
      </c>
      <c r="E833" s="137"/>
      <c r="F833" s="28">
        <v>1786</v>
      </c>
      <c r="G833" s="32" t="s">
        <v>695</v>
      </c>
      <c r="H833" s="63">
        <v>1</v>
      </c>
      <c r="I833" s="63"/>
      <c r="J833" s="63">
        <f>+'INVENTARIO ABRIL-JUNIO 2021'!$H833-'INVENTARIO ABRIL-JUNIO 2021'!$I833</f>
        <v>1</v>
      </c>
      <c r="K833" s="63"/>
      <c r="L833" s="63"/>
      <c r="M833" s="63"/>
      <c r="N833" s="63"/>
      <c r="O833" s="125"/>
      <c r="P833" s="63"/>
      <c r="Q833" s="63"/>
      <c r="R833" s="63"/>
      <c r="S833" s="63"/>
      <c r="T833" s="63"/>
      <c r="U833" s="63">
        <f>+Tabla1[[#This Row],[STOCK    FISICO ENERO 2021]]-Tabla1[[#This Row],[REQUISICIONES FEBRERO 2021]]</f>
        <v>1</v>
      </c>
      <c r="V833" s="63">
        <f>+Tabla1[[#This Row],[STOCK  FEBRERO 2021]]-Tabla1[[#This Row],[REQUISICIONES MARZO 2021]]+Tabla1[[#This Row],[ENTRADAS MARZO 2021]]</f>
        <v>1</v>
      </c>
      <c r="W833" s="63">
        <f>+Tabla1[[#This Row],[STOCK MARZO 2021]]-Tabla1[[#This Row],[REQUISICIONES ABRIL 2021]]+Tabla1[[#This Row],[ENTRADAS ABRIL 2021]]</f>
        <v>1</v>
      </c>
      <c r="X833" s="63">
        <f>+Tabla1[[#This Row],[STOCK ABRIL 2021]]-Tabla1[[#This Row],[REQUISICIONES MAYO 2021]]+Tabla1[[#This Row],[ENTRADAS MAYO 2021]]</f>
        <v>1</v>
      </c>
      <c r="Y833" s="63">
        <f>+Tabla1[[#This Row],[STOCK MAYO 2021]]-Tabla1[[#This Row],[REQUISICIONES JUNIO 2021]]+Tabla1[[#This Row],[ENTRADAS JUNIO 2021]]</f>
        <v>1</v>
      </c>
      <c r="Z833" s="30" t="s">
        <v>105</v>
      </c>
      <c r="AA833" s="34">
        <v>12737.29</v>
      </c>
      <c r="AB833" s="35">
        <f t="shared" si="36"/>
        <v>15030.002200000001</v>
      </c>
      <c r="AC833" s="93">
        <f>Tabla1[[#This Row],[STOCK JUNIO ]]*Tabla1[[#This Row],[COSTO UNITARIO SIN ITBIS]]</f>
        <v>12737.29</v>
      </c>
    </row>
    <row r="834" spans="1:29" s="8" customFormat="1" x14ac:dyDescent="0.25">
      <c r="A834" s="265">
        <v>39</v>
      </c>
      <c r="B834" s="31">
        <v>44110</v>
      </c>
      <c r="C834" s="13" t="s">
        <v>11</v>
      </c>
      <c r="D834" s="31">
        <v>44110</v>
      </c>
      <c r="E834" s="137"/>
      <c r="F834" s="28" t="s">
        <v>20</v>
      </c>
      <c r="G834" s="32" t="s">
        <v>607</v>
      </c>
      <c r="H834" s="63">
        <v>1</v>
      </c>
      <c r="I834" s="63"/>
      <c r="J834" s="63">
        <f>+'INVENTARIO ABRIL-JUNIO 2021'!$H834-'INVENTARIO ABRIL-JUNIO 2021'!$I834</f>
        <v>1</v>
      </c>
      <c r="K834" s="63"/>
      <c r="L834" s="63"/>
      <c r="M834" s="63"/>
      <c r="N834" s="63"/>
      <c r="O834" s="125"/>
      <c r="P834" s="63"/>
      <c r="Q834" s="63"/>
      <c r="R834" s="63"/>
      <c r="S834" s="63"/>
      <c r="T834" s="63"/>
      <c r="U834" s="63">
        <f>+Tabla1[[#This Row],[STOCK    FISICO ENERO 2021]]-Tabla1[[#This Row],[REQUISICIONES FEBRERO 2021]]</f>
        <v>1</v>
      </c>
      <c r="V834" s="63">
        <f>+Tabla1[[#This Row],[STOCK  FEBRERO 2021]]-Tabla1[[#This Row],[REQUISICIONES MARZO 2021]]+Tabla1[[#This Row],[ENTRADAS MARZO 2021]]</f>
        <v>1</v>
      </c>
      <c r="W834" s="63">
        <f>+Tabla1[[#This Row],[STOCK MARZO 2021]]-Tabla1[[#This Row],[REQUISICIONES ABRIL 2021]]+Tabla1[[#This Row],[ENTRADAS ABRIL 2021]]</f>
        <v>1</v>
      </c>
      <c r="X834" s="63">
        <f>+Tabla1[[#This Row],[STOCK ABRIL 2021]]-Tabla1[[#This Row],[REQUISICIONES MAYO 2021]]+Tabla1[[#This Row],[ENTRADAS MAYO 2021]]</f>
        <v>1</v>
      </c>
      <c r="Y834" s="63">
        <f>+Tabla1[[#This Row],[STOCK MAYO 2021]]-Tabla1[[#This Row],[REQUISICIONES JUNIO 2021]]+Tabla1[[#This Row],[ENTRADAS JUNIO 2021]]</f>
        <v>1</v>
      </c>
      <c r="Z834" s="30" t="s">
        <v>12</v>
      </c>
      <c r="AA834" s="34">
        <v>25000</v>
      </c>
      <c r="AB834" s="35">
        <f t="shared" si="36"/>
        <v>29500</v>
      </c>
      <c r="AC834" s="93">
        <f>Tabla1[[#This Row],[STOCK JUNIO ]]*Tabla1[[#This Row],[COSTO UNITARIO SIN ITBIS]]</f>
        <v>25000</v>
      </c>
    </row>
    <row r="835" spans="1:29" s="8" customFormat="1" ht="15.75" thickBot="1" x14ac:dyDescent="0.3">
      <c r="A835" s="57"/>
      <c r="B835" s="56"/>
      <c r="C835" s="56"/>
      <c r="D835" s="56"/>
      <c r="E835" s="141"/>
      <c r="F835" s="56"/>
      <c r="G835" s="56"/>
      <c r="H835" s="57"/>
      <c r="I835" s="57"/>
      <c r="J835" s="57">
        <f>+'INVENTARIO ABRIL-JUNIO 2021'!$H835-'INVENTARIO ABRIL-JUNIO 2021'!$I835</f>
        <v>0</v>
      </c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6"/>
      <c r="AA835" s="58"/>
      <c r="AB835" s="58" t="s">
        <v>718</v>
      </c>
      <c r="AC835" s="95">
        <f>SUM(AC796:AC834)</f>
        <v>74000.5</v>
      </c>
    </row>
    <row r="836" spans="1:29" s="8" customFormat="1" ht="15.75" thickTop="1" x14ac:dyDescent="0.25">
      <c r="A836" s="262" t="s">
        <v>608</v>
      </c>
      <c r="B836" s="61"/>
      <c r="C836" s="61"/>
      <c r="D836" s="61"/>
      <c r="E836" s="96"/>
      <c r="F836" s="61"/>
      <c r="G836" s="61"/>
      <c r="H836" s="61"/>
      <c r="I836" s="61"/>
      <c r="J836" s="61"/>
      <c r="K836" s="61"/>
      <c r="L836" s="61"/>
      <c r="M836" s="61"/>
      <c r="N836" s="61"/>
      <c r="O836" s="262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96"/>
    </row>
    <row r="837" spans="1:29" s="14" customFormat="1" x14ac:dyDescent="0.25">
      <c r="A837" s="323">
        <v>1</v>
      </c>
      <c r="B837" s="279">
        <v>44363</v>
      </c>
      <c r="C837" s="280" t="s">
        <v>11</v>
      </c>
      <c r="D837" s="279">
        <v>44362</v>
      </c>
      <c r="E837" s="281" t="s">
        <v>895</v>
      </c>
      <c r="F837" s="280"/>
      <c r="G837" s="282" t="s">
        <v>896</v>
      </c>
      <c r="H837" s="283"/>
      <c r="I837" s="283"/>
      <c r="J837" s="284">
        <f>+'INVENTARIO ABRIL-JUNIO 2021'!$H837-'INVENTARIO ABRIL-JUNIO 2021'!$I837</f>
        <v>0</v>
      </c>
      <c r="K837" s="283"/>
      <c r="L837" s="283"/>
      <c r="M837" s="283"/>
      <c r="N837" s="285"/>
      <c r="O837" s="284">
        <v>2</v>
      </c>
      <c r="P837" s="283"/>
      <c r="Q837" s="283"/>
      <c r="R837" s="283"/>
      <c r="S837" s="283"/>
      <c r="T837" s="283">
        <v>1</v>
      </c>
      <c r="U837" s="284">
        <f>+Tabla1[[#This Row],[STOCK    FISICO ENERO 2021]]-Tabla1[[#This Row],[REQUISICIONES FEBRERO 2021]]</f>
        <v>0</v>
      </c>
      <c r="V837" s="284">
        <f>+Tabla1[[#This Row],[STOCK  FEBRERO 2021]]-Tabla1[[#This Row],[REQUISICIONES MARZO 2021]]+Tabla1[[#This Row],[ENTRADAS MARZO 2021]]</f>
        <v>0</v>
      </c>
      <c r="W837" s="284">
        <f>+Tabla1[[#This Row],[STOCK MARZO 2021]]-Tabla1[[#This Row],[REQUISICIONES ABRIL 2021]]+Tabla1[[#This Row],[ENTRADAS ABRIL 2021]]</f>
        <v>0</v>
      </c>
      <c r="X837" s="284">
        <f>+Tabla1[[#This Row],[STOCK ABRIL 2021]]-Tabla1[[#This Row],[REQUISICIONES MAYO 2021]]+Tabla1[[#This Row],[ENTRADAS MAYO 2021]]</f>
        <v>0</v>
      </c>
      <c r="Y837" s="160">
        <f>+Tabla1[[#This Row],[STOCK MAYO 2021]]-Tabla1[[#This Row],[REQUISICIONES JUNIO 2021]]+Tabla1[[#This Row],[ENTRADAS JUNIO 2021]]</f>
        <v>1</v>
      </c>
      <c r="Z837" s="161" t="s">
        <v>12</v>
      </c>
      <c r="AA837" s="286">
        <v>5084.75</v>
      </c>
      <c r="AB837" s="133">
        <f t="shared" ref="AB837:AB851" si="37">+AA837*0.18+AA837</f>
        <v>6000.0050000000001</v>
      </c>
      <c r="AC837" s="303">
        <f>Tabla1[[#This Row],[STOCK JUNIO ]]*Tabla1[[#This Row],[COSTO UNITARIO SIN ITBIS]]</f>
        <v>5084.75</v>
      </c>
    </row>
    <row r="838" spans="1:29" s="14" customFormat="1" x14ac:dyDescent="0.25">
      <c r="A838" s="323">
        <v>2</v>
      </c>
      <c r="B838" s="279">
        <v>44363</v>
      </c>
      <c r="C838" s="280" t="s">
        <v>11</v>
      </c>
      <c r="D838" s="279">
        <v>44362</v>
      </c>
      <c r="E838" s="281" t="s">
        <v>895</v>
      </c>
      <c r="F838" s="280"/>
      <c r="G838" s="282" t="s">
        <v>897</v>
      </c>
      <c r="H838" s="283"/>
      <c r="I838" s="283"/>
      <c r="J838" s="284">
        <f>+'INVENTARIO ABRIL-JUNIO 2021'!$H838-'INVENTARIO ABRIL-JUNIO 2021'!$I838</f>
        <v>0</v>
      </c>
      <c r="K838" s="283"/>
      <c r="L838" s="283"/>
      <c r="M838" s="283"/>
      <c r="N838" s="285"/>
      <c r="O838" s="284">
        <v>2</v>
      </c>
      <c r="P838" s="283"/>
      <c r="Q838" s="283"/>
      <c r="R838" s="283"/>
      <c r="S838" s="283"/>
      <c r="T838" s="283">
        <v>1</v>
      </c>
      <c r="U838" s="284">
        <f>+Tabla1[[#This Row],[STOCK    FISICO ENERO 2021]]-Tabla1[[#This Row],[REQUISICIONES FEBRERO 2021]]</f>
        <v>0</v>
      </c>
      <c r="V838" s="284">
        <f>+Tabla1[[#This Row],[STOCK  FEBRERO 2021]]-Tabla1[[#This Row],[REQUISICIONES MARZO 2021]]+Tabla1[[#This Row],[ENTRADAS MARZO 2021]]</f>
        <v>0</v>
      </c>
      <c r="W838" s="284">
        <f>+Tabla1[[#This Row],[STOCK MARZO 2021]]-Tabla1[[#This Row],[REQUISICIONES ABRIL 2021]]+Tabla1[[#This Row],[ENTRADAS ABRIL 2021]]</f>
        <v>0</v>
      </c>
      <c r="X838" s="284">
        <f>+Tabla1[[#This Row],[STOCK ABRIL 2021]]-Tabla1[[#This Row],[REQUISICIONES MAYO 2021]]+Tabla1[[#This Row],[ENTRADAS MAYO 2021]]</f>
        <v>0</v>
      </c>
      <c r="Y838" s="160">
        <f>+Tabla1[[#This Row],[STOCK MAYO 2021]]-Tabla1[[#This Row],[REQUISICIONES JUNIO 2021]]+Tabla1[[#This Row],[ENTRADAS JUNIO 2021]]</f>
        <v>1</v>
      </c>
      <c r="Z838" s="161" t="s">
        <v>12</v>
      </c>
      <c r="AA838" s="286">
        <v>4661.01</v>
      </c>
      <c r="AB838" s="133">
        <f t="shared" si="37"/>
        <v>5499.9917999999998</v>
      </c>
      <c r="AC838" s="303">
        <f>Tabla1[[#This Row],[STOCK JUNIO ]]*Tabla1[[#This Row],[COSTO UNITARIO SIN ITBIS]]</f>
        <v>4661.01</v>
      </c>
    </row>
    <row r="839" spans="1:29" s="14" customFormat="1" x14ac:dyDescent="0.25">
      <c r="A839" s="323">
        <v>3</v>
      </c>
      <c r="B839" s="279">
        <v>44363</v>
      </c>
      <c r="C839" s="280" t="s">
        <v>11</v>
      </c>
      <c r="D839" s="279">
        <v>44362</v>
      </c>
      <c r="E839" s="281" t="s">
        <v>895</v>
      </c>
      <c r="F839" s="280"/>
      <c r="G839" s="282" t="s">
        <v>898</v>
      </c>
      <c r="H839" s="283"/>
      <c r="I839" s="283"/>
      <c r="J839" s="284">
        <f>+'INVENTARIO ABRIL-JUNIO 2021'!$H839-'INVENTARIO ABRIL-JUNIO 2021'!$I839</f>
        <v>0</v>
      </c>
      <c r="K839" s="283"/>
      <c r="L839" s="283"/>
      <c r="M839" s="283"/>
      <c r="N839" s="285"/>
      <c r="O839" s="284">
        <v>2</v>
      </c>
      <c r="P839" s="283"/>
      <c r="Q839" s="283"/>
      <c r="R839" s="283"/>
      <c r="S839" s="283"/>
      <c r="T839" s="283" t="s">
        <v>917</v>
      </c>
      <c r="U839" s="284">
        <f>+Tabla1[[#This Row],[STOCK    FISICO ENERO 2021]]-Tabla1[[#This Row],[REQUISICIONES FEBRERO 2021]]</f>
        <v>0</v>
      </c>
      <c r="V839" s="284">
        <f>+Tabla1[[#This Row],[STOCK  FEBRERO 2021]]-Tabla1[[#This Row],[REQUISICIONES MARZO 2021]]+Tabla1[[#This Row],[ENTRADAS MARZO 2021]]</f>
        <v>0</v>
      </c>
      <c r="W839" s="284">
        <f>+Tabla1[[#This Row],[STOCK MARZO 2021]]-Tabla1[[#This Row],[REQUISICIONES ABRIL 2021]]+Tabla1[[#This Row],[ENTRADAS ABRIL 2021]]</f>
        <v>0</v>
      </c>
      <c r="X839" s="284">
        <f>+Tabla1[[#This Row],[STOCK ABRIL 2021]]-Tabla1[[#This Row],[REQUISICIONES MAYO 2021]]+Tabla1[[#This Row],[ENTRADAS MAYO 2021]]</f>
        <v>0</v>
      </c>
      <c r="Y839" s="160">
        <f>+Tabla1[[#This Row],[STOCK MAYO 2021]]-Tabla1[[#This Row],[REQUISICIONES JUNIO 2021]]+Tabla1[[#This Row],[ENTRADAS JUNIO 2021]]</f>
        <v>1</v>
      </c>
      <c r="Z839" s="161" t="s">
        <v>12</v>
      </c>
      <c r="AA839" s="286">
        <v>677.97</v>
      </c>
      <c r="AB839" s="133">
        <f t="shared" si="37"/>
        <v>800.00459999999998</v>
      </c>
      <c r="AC839" s="303">
        <f>Tabla1[[#This Row],[STOCK JUNIO ]]*Tabla1[[#This Row],[COSTO UNITARIO SIN ITBIS]]</f>
        <v>677.97</v>
      </c>
    </row>
    <row r="840" spans="1:29" s="14" customFormat="1" x14ac:dyDescent="0.25">
      <c r="A840" s="323">
        <v>4</v>
      </c>
      <c r="B840" s="279">
        <v>44363</v>
      </c>
      <c r="C840" s="280" t="s">
        <v>11</v>
      </c>
      <c r="D840" s="279">
        <v>44362</v>
      </c>
      <c r="E840" s="281" t="s">
        <v>895</v>
      </c>
      <c r="F840" s="280"/>
      <c r="G840" s="282" t="s">
        <v>899</v>
      </c>
      <c r="H840" s="283"/>
      <c r="I840" s="283"/>
      <c r="J840" s="284">
        <f>+'INVENTARIO ABRIL-JUNIO 2021'!$H840-'INVENTARIO ABRIL-JUNIO 2021'!$I840</f>
        <v>0</v>
      </c>
      <c r="K840" s="283"/>
      <c r="L840" s="283"/>
      <c r="M840" s="283"/>
      <c r="N840" s="285"/>
      <c r="O840" s="284">
        <v>2</v>
      </c>
      <c r="P840" s="283"/>
      <c r="Q840" s="283"/>
      <c r="R840" s="283"/>
      <c r="S840" s="283"/>
      <c r="T840" s="283">
        <v>1</v>
      </c>
      <c r="U840" s="284">
        <f>+Tabla1[[#This Row],[STOCK    FISICO ENERO 2021]]-Tabla1[[#This Row],[REQUISICIONES FEBRERO 2021]]</f>
        <v>0</v>
      </c>
      <c r="V840" s="284">
        <f>+Tabla1[[#This Row],[STOCK  FEBRERO 2021]]-Tabla1[[#This Row],[REQUISICIONES MARZO 2021]]+Tabla1[[#This Row],[ENTRADAS MARZO 2021]]</f>
        <v>0</v>
      </c>
      <c r="W840" s="284">
        <f>+Tabla1[[#This Row],[STOCK MARZO 2021]]-Tabla1[[#This Row],[REQUISICIONES ABRIL 2021]]+Tabla1[[#This Row],[ENTRADAS ABRIL 2021]]</f>
        <v>0</v>
      </c>
      <c r="X840" s="284">
        <f>+Tabla1[[#This Row],[STOCK ABRIL 2021]]-Tabla1[[#This Row],[REQUISICIONES MAYO 2021]]+Tabla1[[#This Row],[ENTRADAS MAYO 2021]]</f>
        <v>0</v>
      </c>
      <c r="Y840" s="160">
        <f>+Tabla1[[#This Row],[STOCK MAYO 2021]]-Tabla1[[#This Row],[REQUISICIONES JUNIO 2021]]+Tabla1[[#This Row],[ENTRADAS JUNIO 2021]]</f>
        <v>1</v>
      </c>
      <c r="Z840" s="161" t="s">
        <v>12</v>
      </c>
      <c r="AA840" s="286">
        <v>1694.92</v>
      </c>
      <c r="AB840" s="133">
        <f t="shared" si="37"/>
        <v>2000.0056</v>
      </c>
      <c r="AC840" s="303">
        <f>Tabla1[[#This Row],[STOCK JUNIO ]]*Tabla1[[#This Row],[COSTO UNITARIO SIN ITBIS]]</f>
        <v>1694.92</v>
      </c>
    </row>
    <row r="841" spans="1:29" s="14" customFormat="1" x14ac:dyDescent="0.25">
      <c r="A841" s="323">
        <v>5</v>
      </c>
      <c r="B841" s="279">
        <v>44363</v>
      </c>
      <c r="C841" s="280" t="s">
        <v>11</v>
      </c>
      <c r="D841" s="279">
        <v>44362</v>
      </c>
      <c r="E841" s="281" t="s">
        <v>895</v>
      </c>
      <c r="F841" s="280"/>
      <c r="G841" s="282" t="s">
        <v>900</v>
      </c>
      <c r="H841" s="283"/>
      <c r="I841" s="283"/>
      <c r="J841" s="284">
        <f>+'INVENTARIO ABRIL-JUNIO 2021'!$H841-'INVENTARIO ABRIL-JUNIO 2021'!$I841</f>
        <v>0</v>
      </c>
      <c r="K841" s="283"/>
      <c r="L841" s="283"/>
      <c r="M841" s="283"/>
      <c r="N841" s="285"/>
      <c r="O841" s="284">
        <v>3</v>
      </c>
      <c r="P841" s="283"/>
      <c r="Q841" s="283"/>
      <c r="R841" s="283"/>
      <c r="S841" s="283"/>
      <c r="T841" s="283">
        <v>1</v>
      </c>
      <c r="U841" s="284">
        <f>+Tabla1[[#This Row],[STOCK    FISICO ENERO 2021]]-Tabla1[[#This Row],[REQUISICIONES FEBRERO 2021]]</f>
        <v>0</v>
      </c>
      <c r="V841" s="284">
        <f>+Tabla1[[#This Row],[STOCK  FEBRERO 2021]]-Tabla1[[#This Row],[REQUISICIONES MARZO 2021]]+Tabla1[[#This Row],[ENTRADAS MARZO 2021]]</f>
        <v>0</v>
      </c>
      <c r="W841" s="284">
        <f>+Tabla1[[#This Row],[STOCK MARZO 2021]]-Tabla1[[#This Row],[REQUISICIONES ABRIL 2021]]+Tabla1[[#This Row],[ENTRADAS ABRIL 2021]]</f>
        <v>0</v>
      </c>
      <c r="X841" s="284">
        <f>+Tabla1[[#This Row],[STOCK ABRIL 2021]]-Tabla1[[#This Row],[REQUISICIONES MAYO 2021]]+Tabla1[[#This Row],[ENTRADAS MAYO 2021]]</f>
        <v>0</v>
      </c>
      <c r="Y841" s="160">
        <f>+Tabla1[[#This Row],[STOCK MAYO 2021]]-Tabla1[[#This Row],[REQUISICIONES JUNIO 2021]]+Tabla1[[#This Row],[ENTRADAS JUNIO 2021]]</f>
        <v>2</v>
      </c>
      <c r="Z841" s="161" t="s">
        <v>193</v>
      </c>
      <c r="AA841" s="286">
        <v>2966.1</v>
      </c>
      <c r="AB841" s="133">
        <f t="shared" si="37"/>
        <v>3499.9979999999996</v>
      </c>
      <c r="AC841" s="303">
        <f>Tabla1[[#This Row],[STOCK JUNIO ]]*Tabla1[[#This Row],[COSTO UNITARIO SIN ITBIS]]</f>
        <v>5932.2</v>
      </c>
    </row>
    <row r="842" spans="1:29" s="14" customFormat="1" x14ac:dyDescent="0.25">
      <c r="A842" s="323">
        <v>6</v>
      </c>
      <c r="B842" s="279">
        <v>44363</v>
      </c>
      <c r="C842" s="280" t="s">
        <v>11</v>
      </c>
      <c r="D842" s="279">
        <v>44362</v>
      </c>
      <c r="E842" s="281" t="s">
        <v>895</v>
      </c>
      <c r="F842" s="280"/>
      <c r="G842" s="282" t="s">
        <v>901</v>
      </c>
      <c r="H842" s="283"/>
      <c r="I842" s="283"/>
      <c r="J842" s="284">
        <f>+'INVENTARIO ABRIL-JUNIO 2021'!$H842-'INVENTARIO ABRIL-JUNIO 2021'!$I842</f>
        <v>0</v>
      </c>
      <c r="K842" s="283"/>
      <c r="L842" s="283"/>
      <c r="M842" s="283"/>
      <c r="N842" s="285"/>
      <c r="O842" s="284">
        <v>3</v>
      </c>
      <c r="P842" s="283"/>
      <c r="Q842" s="283"/>
      <c r="R842" s="283"/>
      <c r="S842" s="283"/>
      <c r="T842" s="283"/>
      <c r="U842" s="284">
        <f>+Tabla1[[#This Row],[STOCK    FISICO ENERO 2021]]-Tabla1[[#This Row],[REQUISICIONES FEBRERO 2021]]</f>
        <v>0</v>
      </c>
      <c r="V842" s="284">
        <f>+Tabla1[[#This Row],[STOCK  FEBRERO 2021]]-Tabla1[[#This Row],[REQUISICIONES MARZO 2021]]+Tabla1[[#This Row],[ENTRADAS MARZO 2021]]</f>
        <v>0</v>
      </c>
      <c r="W842" s="284">
        <f>+Tabla1[[#This Row],[STOCK MARZO 2021]]-Tabla1[[#This Row],[REQUISICIONES ABRIL 2021]]+Tabla1[[#This Row],[ENTRADAS ABRIL 2021]]</f>
        <v>0</v>
      </c>
      <c r="X842" s="284">
        <f>+Tabla1[[#This Row],[STOCK ABRIL 2021]]-Tabla1[[#This Row],[REQUISICIONES MAYO 2021]]+Tabla1[[#This Row],[ENTRADAS MAYO 2021]]</f>
        <v>0</v>
      </c>
      <c r="Y842" s="160">
        <f>+Tabla1[[#This Row],[STOCK MAYO 2021]]-Tabla1[[#This Row],[REQUISICIONES JUNIO 2021]]+Tabla1[[#This Row],[ENTRADAS JUNIO 2021]]</f>
        <v>3</v>
      </c>
      <c r="Z842" s="161" t="s">
        <v>193</v>
      </c>
      <c r="AA842" s="286">
        <v>894.07</v>
      </c>
      <c r="AB842" s="133">
        <f t="shared" si="37"/>
        <v>1055.0026</v>
      </c>
      <c r="AC842" s="303">
        <f>Tabla1[[#This Row],[STOCK JUNIO ]]*Tabla1[[#This Row],[COSTO UNITARIO SIN ITBIS]]</f>
        <v>2682.21</v>
      </c>
    </row>
    <row r="843" spans="1:29" s="14" customFormat="1" x14ac:dyDescent="0.25">
      <c r="A843" s="323">
        <v>7</v>
      </c>
      <c r="B843" s="279">
        <v>44363</v>
      </c>
      <c r="C843" s="280" t="s">
        <v>11</v>
      </c>
      <c r="D843" s="279">
        <v>44362</v>
      </c>
      <c r="E843" s="281" t="s">
        <v>895</v>
      </c>
      <c r="F843" s="280"/>
      <c r="G843" s="282" t="s">
        <v>902</v>
      </c>
      <c r="H843" s="283"/>
      <c r="I843" s="283"/>
      <c r="J843" s="284">
        <f>+'INVENTARIO ABRIL-JUNIO 2021'!$H843-'INVENTARIO ABRIL-JUNIO 2021'!$I843</f>
        <v>0</v>
      </c>
      <c r="K843" s="283"/>
      <c r="L843" s="283"/>
      <c r="M843" s="283"/>
      <c r="N843" s="285"/>
      <c r="O843" s="284">
        <v>2</v>
      </c>
      <c r="P843" s="283"/>
      <c r="Q843" s="283"/>
      <c r="R843" s="283"/>
      <c r="S843" s="283"/>
      <c r="T843" s="283">
        <v>1</v>
      </c>
      <c r="U843" s="284">
        <f>+Tabla1[[#This Row],[STOCK    FISICO ENERO 2021]]-Tabla1[[#This Row],[REQUISICIONES FEBRERO 2021]]</f>
        <v>0</v>
      </c>
      <c r="V843" s="284">
        <f>+Tabla1[[#This Row],[STOCK  FEBRERO 2021]]-Tabla1[[#This Row],[REQUISICIONES MARZO 2021]]+Tabla1[[#This Row],[ENTRADAS MARZO 2021]]</f>
        <v>0</v>
      </c>
      <c r="W843" s="284">
        <f>+Tabla1[[#This Row],[STOCK MARZO 2021]]-Tabla1[[#This Row],[REQUISICIONES ABRIL 2021]]+Tabla1[[#This Row],[ENTRADAS ABRIL 2021]]</f>
        <v>0</v>
      </c>
      <c r="X843" s="284">
        <f>+Tabla1[[#This Row],[STOCK ABRIL 2021]]-Tabla1[[#This Row],[REQUISICIONES MAYO 2021]]+Tabla1[[#This Row],[ENTRADAS MAYO 2021]]</f>
        <v>0</v>
      </c>
      <c r="Y843" s="160">
        <f>+Tabla1[[#This Row],[STOCK MAYO 2021]]-Tabla1[[#This Row],[REQUISICIONES JUNIO 2021]]+Tabla1[[#This Row],[ENTRADAS JUNIO 2021]]</f>
        <v>1</v>
      </c>
      <c r="Z843" s="161" t="s">
        <v>193</v>
      </c>
      <c r="AA843" s="286">
        <v>2105</v>
      </c>
      <c r="AB843" s="133" t="s">
        <v>747</v>
      </c>
      <c r="AC843" s="303">
        <f>Tabla1[[#This Row],[STOCK JUNIO ]]*Tabla1[[#This Row],[COSTO UNITARIO SIN ITBIS]]</f>
        <v>2105</v>
      </c>
    </row>
    <row r="844" spans="1:29" s="14" customFormat="1" x14ac:dyDescent="0.25">
      <c r="A844" s="323">
        <v>8</v>
      </c>
      <c r="B844" s="279">
        <v>44363</v>
      </c>
      <c r="C844" s="280" t="s">
        <v>11</v>
      </c>
      <c r="D844" s="279">
        <v>44362</v>
      </c>
      <c r="E844" s="281" t="s">
        <v>895</v>
      </c>
      <c r="F844" s="280"/>
      <c r="G844" s="282" t="s">
        <v>903</v>
      </c>
      <c r="H844" s="283"/>
      <c r="I844" s="283"/>
      <c r="J844" s="284">
        <f>+'INVENTARIO ABRIL-JUNIO 2021'!$H844-'INVENTARIO ABRIL-JUNIO 2021'!$I844</f>
        <v>0</v>
      </c>
      <c r="K844" s="283"/>
      <c r="L844" s="283"/>
      <c r="M844" s="283"/>
      <c r="N844" s="285"/>
      <c r="O844" s="284">
        <v>3</v>
      </c>
      <c r="P844" s="283"/>
      <c r="Q844" s="283"/>
      <c r="R844" s="283"/>
      <c r="S844" s="283"/>
      <c r="T844" s="283">
        <v>1</v>
      </c>
      <c r="U844" s="284">
        <f>+Tabla1[[#This Row],[STOCK    FISICO ENERO 2021]]-Tabla1[[#This Row],[REQUISICIONES FEBRERO 2021]]</f>
        <v>0</v>
      </c>
      <c r="V844" s="284">
        <f>+Tabla1[[#This Row],[STOCK  FEBRERO 2021]]-Tabla1[[#This Row],[REQUISICIONES MARZO 2021]]+Tabla1[[#This Row],[ENTRADAS MARZO 2021]]</f>
        <v>0</v>
      </c>
      <c r="W844" s="284">
        <f>+Tabla1[[#This Row],[STOCK MARZO 2021]]-Tabla1[[#This Row],[REQUISICIONES ABRIL 2021]]+Tabla1[[#This Row],[ENTRADAS ABRIL 2021]]</f>
        <v>0</v>
      </c>
      <c r="X844" s="284">
        <f>+Tabla1[[#This Row],[STOCK ABRIL 2021]]-Tabla1[[#This Row],[REQUISICIONES MAYO 2021]]+Tabla1[[#This Row],[ENTRADAS MAYO 2021]]</f>
        <v>0</v>
      </c>
      <c r="Y844" s="160">
        <f>+Tabla1[[#This Row],[STOCK MAYO 2021]]-Tabla1[[#This Row],[REQUISICIONES JUNIO 2021]]+Tabla1[[#This Row],[ENTRADAS JUNIO 2021]]</f>
        <v>2</v>
      </c>
      <c r="Z844" s="161" t="s">
        <v>193</v>
      </c>
      <c r="AA844" s="286">
        <v>385.59</v>
      </c>
      <c r="AB844" s="133">
        <f t="shared" si="37"/>
        <v>454.99619999999999</v>
      </c>
      <c r="AC844" s="303">
        <f>Tabla1[[#This Row],[STOCK JUNIO ]]*Tabla1[[#This Row],[COSTO UNITARIO SIN ITBIS]]</f>
        <v>771.18</v>
      </c>
    </row>
    <row r="845" spans="1:29" s="14" customFormat="1" x14ac:dyDescent="0.25">
      <c r="A845" s="323">
        <v>9</v>
      </c>
      <c r="B845" s="279">
        <v>44363</v>
      </c>
      <c r="C845" s="280" t="s">
        <v>11</v>
      </c>
      <c r="D845" s="279">
        <v>44362</v>
      </c>
      <c r="E845" s="281" t="s">
        <v>895</v>
      </c>
      <c r="F845" s="280"/>
      <c r="G845" s="282" t="s">
        <v>904</v>
      </c>
      <c r="H845" s="283"/>
      <c r="I845" s="283"/>
      <c r="J845" s="284">
        <f>+'INVENTARIO ABRIL-JUNIO 2021'!$H845-'INVENTARIO ABRIL-JUNIO 2021'!$I845</f>
        <v>0</v>
      </c>
      <c r="K845" s="283"/>
      <c r="L845" s="283"/>
      <c r="M845" s="283"/>
      <c r="N845" s="285"/>
      <c r="O845" s="284">
        <v>10</v>
      </c>
      <c r="P845" s="283"/>
      <c r="Q845" s="283"/>
      <c r="R845" s="283"/>
      <c r="S845" s="283"/>
      <c r="T845" s="283">
        <v>1</v>
      </c>
      <c r="U845" s="284">
        <f>+Tabla1[[#This Row],[STOCK    FISICO ENERO 2021]]-Tabla1[[#This Row],[REQUISICIONES FEBRERO 2021]]</f>
        <v>0</v>
      </c>
      <c r="V845" s="284">
        <f>+Tabla1[[#This Row],[STOCK  FEBRERO 2021]]-Tabla1[[#This Row],[REQUISICIONES MARZO 2021]]+Tabla1[[#This Row],[ENTRADAS MARZO 2021]]</f>
        <v>0</v>
      </c>
      <c r="W845" s="284">
        <f>+Tabla1[[#This Row],[STOCK MARZO 2021]]-Tabla1[[#This Row],[REQUISICIONES ABRIL 2021]]+Tabla1[[#This Row],[ENTRADAS ABRIL 2021]]</f>
        <v>0</v>
      </c>
      <c r="X845" s="284">
        <f>+Tabla1[[#This Row],[STOCK ABRIL 2021]]-Tabla1[[#This Row],[REQUISICIONES MAYO 2021]]+Tabla1[[#This Row],[ENTRADAS MAYO 2021]]</f>
        <v>0</v>
      </c>
      <c r="Y845" s="160">
        <f>+Tabla1[[#This Row],[STOCK MAYO 2021]]-Tabla1[[#This Row],[REQUISICIONES JUNIO 2021]]+Tabla1[[#This Row],[ENTRADAS JUNIO 2021]]</f>
        <v>9</v>
      </c>
      <c r="Z845" s="161" t="s">
        <v>193</v>
      </c>
      <c r="AA845" s="286">
        <v>2000</v>
      </c>
      <c r="AB845" s="133" t="s">
        <v>747</v>
      </c>
      <c r="AC845" s="303">
        <f>Tabla1[[#This Row],[STOCK JUNIO ]]*Tabla1[[#This Row],[COSTO UNITARIO SIN ITBIS]]</f>
        <v>18000</v>
      </c>
    </row>
    <row r="846" spans="1:29" s="14" customFormat="1" x14ac:dyDescent="0.25">
      <c r="A846" s="323">
        <v>10</v>
      </c>
      <c r="B846" s="279">
        <v>44363</v>
      </c>
      <c r="C846" s="280" t="s">
        <v>11</v>
      </c>
      <c r="D846" s="279">
        <v>44362</v>
      </c>
      <c r="E846" s="281" t="s">
        <v>895</v>
      </c>
      <c r="F846" s="280"/>
      <c r="G846" s="282" t="s">
        <v>905</v>
      </c>
      <c r="H846" s="283"/>
      <c r="I846" s="283"/>
      <c r="J846" s="284">
        <f>+'INVENTARIO ABRIL-JUNIO 2021'!$H846-'INVENTARIO ABRIL-JUNIO 2021'!$I846</f>
        <v>0</v>
      </c>
      <c r="K846" s="283"/>
      <c r="L846" s="283"/>
      <c r="M846" s="283"/>
      <c r="N846" s="285"/>
      <c r="O846" s="284">
        <v>2</v>
      </c>
      <c r="P846" s="283"/>
      <c r="Q846" s="283"/>
      <c r="R846" s="283"/>
      <c r="S846" s="283"/>
      <c r="T846" s="283">
        <v>1</v>
      </c>
      <c r="U846" s="284">
        <f>+Tabla1[[#This Row],[STOCK    FISICO ENERO 2021]]-Tabla1[[#This Row],[REQUISICIONES FEBRERO 2021]]</f>
        <v>0</v>
      </c>
      <c r="V846" s="284">
        <f>+Tabla1[[#This Row],[STOCK  FEBRERO 2021]]-Tabla1[[#This Row],[REQUISICIONES MARZO 2021]]+Tabla1[[#This Row],[ENTRADAS MARZO 2021]]</f>
        <v>0</v>
      </c>
      <c r="W846" s="284">
        <f>+Tabla1[[#This Row],[STOCK MARZO 2021]]-Tabla1[[#This Row],[REQUISICIONES ABRIL 2021]]+Tabla1[[#This Row],[ENTRADAS ABRIL 2021]]</f>
        <v>0</v>
      </c>
      <c r="X846" s="284">
        <f>+Tabla1[[#This Row],[STOCK ABRIL 2021]]-Tabla1[[#This Row],[REQUISICIONES MAYO 2021]]+Tabla1[[#This Row],[ENTRADAS MAYO 2021]]</f>
        <v>0</v>
      </c>
      <c r="Y846" s="160">
        <f>+Tabla1[[#This Row],[STOCK MAYO 2021]]-Tabla1[[#This Row],[REQUISICIONES JUNIO 2021]]+Tabla1[[#This Row],[ENTRADAS JUNIO 2021]]</f>
        <v>1</v>
      </c>
      <c r="Z846" s="161" t="s">
        <v>12</v>
      </c>
      <c r="AA846" s="286">
        <v>26355.93</v>
      </c>
      <c r="AB846" s="133">
        <f t="shared" si="37"/>
        <v>31099.9974</v>
      </c>
      <c r="AC846" s="303">
        <f>Tabla1[[#This Row],[STOCK JUNIO ]]*Tabla1[[#This Row],[COSTO UNITARIO SIN ITBIS]]</f>
        <v>26355.93</v>
      </c>
    </row>
    <row r="847" spans="1:29" s="14" customFormat="1" x14ac:dyDescent="0.25">
      <c r="A847" s="323">
        <v>11</v>
      </c>
      <c r="B847" s="279">
        <v>44363</v>
      </c>
      <c r="C847" s="280" t="s">
        <v>11</v>
      </c>
      <c r="D847" s="317">
        <v>44354</v>
      </c>
      <c r="E847" s="281" t="s">
        <v>909</v>
      </c>
      <c r="F847" s="250"/>
      <c r="G847" s="318" t="s">
        <v>910</v>
      </c>
      <c r="H847" s="301"/>
      <c r="I847" s="301"/>
      <c r="J847" s="319">
        <f>+'INVENTARIO ABRIL-JUNIO 2021'!$H847-'INVENTARIO ABRIL-JUNIO 2021'!$I847</f>
        <v>0</v>
      </c>
      <c r="K847" s="301"/>
      <c r="L847" s="301"/>
      <c r="M847" s="301"/>
      <c r="N847" s="302"/>
      <c r="O847" s="247">
        <v>1000</v>
      </c>
      <c r="P847" s="301"/>
      <c r="Q847" s="301"/>
      <c r="R847" s="301"/>
      <c r="S847" s="301"/>
      <c r="T847" s="301"/>
      <c r="U847" s="247">
        <f>+Tabla1[[#This Row],[STOCK    FISICO ENERO 2021]]-Tabla1[[#This Row],[REQUISICIONES FEBRERO 2021]]</f>
        <v>0</v>
      </c>
      <c r="V847" s="319">
        <f>+Tabla1[[#This Row],[STOCK  FEBRERO 2021]]-Tabla1[[#This Row],[REQUISICIONES MARZO 2021]]+Tabla1[[#This Row],[ENTRADAS MARZO 2021]]</f>
        <v>0</v>
      </c>
      <c r="W847" s="284">
        <f>+Tabla1[[#This Row],[STOCK MARZO 2021]]-Tabla1[[#This Row],[REQUISICIONES ABRIL 2021]]+Tabla1[[#This Row],[ENTRADAS ABRIL 2021]]</f>
        <v>0</v>
      </c>
      <c r="X847" s="284">
        <f>+Tabla1[[#This Row],[STOCK ABRIL 2021]]-Tabla1[[#This Row],[REQUISICIONES MAYO 2021]]+Tabla1[[#This Row],[ENTRADAS MAYO 2021]]</f>
        <v>0</v>
      </c>
      <c r="Y847" s="205">
        <f>+Tabla1[[#This Row],[STOCK MAYO 2021]]-Tabla1[[#This Row],[REQUISICIONES JUNIO 2021]]+Tabla1[[#This Row],[ENTRADAS JUNIO 2021]]</f>
        <v>1000</v>
      </c>
      <c r="Z847" s="161" t="s">
        <v>12</v>
      </c>
      <c r="AA847" s="320">
        <v>0</v>
      </c>
      <c r="AB847" s="252"/>
      <c r="AC847" s="321">
        <f t="shared" ref="AC847:AC849" si="38">J847*AA847</f>
        <v>0</v>
      </c>
    </row>
    <row r="848" spans="1:29" s="14" customFormat="1" x14ac:dyDescent="0.25">
      <c r="A848" s="323">
        <v>12</v>
      </c>
      <c r="B848" s="279">
        <v>44363</v>
      </c>
      <c r="C848" s="280" t="s">
        <v>11</v>
      </c>
      <c r="D848" s="317">
        <v>44354</v>
      </c>
      <c r="E848" s="281" t="s">
        <v>909</v>
      </c>
      <c r="F848" s="250"/>
      <c r="G848" s="318" t="s">
        <v>911</v>
      </c>
      <c r="H848" s="301"/>
      <c r="I848" s="301"/>
      <c r="J848" s="319">
        <f>+'INVENTARIO ABRIL-JUNIO 2021'!$H848-'INVENTARIO ABRIL-JUNIO 2021'!$I848</f>
        <v>0</v>
      </c>
      <c r="K848" s="301"/>
      <c r="L848" s="301"/>
      <c r="M848" s="301"/>
      <c r="N848" s="302"/>
      <c r="O848" s="247">
        <v>1300</v>
      </c>
      <c r="P848" s="301"/>
      <c r="Q848" s="301"/>
      <c r="R848" s="301"/>
      <c r="S848" s="301"/>
      <c r="T848" s="301"/>
      <c r="U848" s="247">
        <f>+Tabla1[[#This Row],[STOCK    FISICO ENERO 2021]]-Tabla1[[#This Row],[REQUISICIONES FEBRERO 2021]]</f>
        <v>0</v>
      </c>
      <c r="V848" s="319">
        <f>+Tabla1[[#This Row],[STOCK  FEBRERO 2021]]-Tabla1[[#This Row],[REQUISICIONES MARZO 2021]]+Tabla1[[#This Row],[ENTRADAS MARZO 2021]]</f>
        <v>0</v>
      </c>
      <c r="W848" s="284">
        <f>+Tabla1[[#This Row],[STOCK MARZO 2021]]-Tabla1[[#This Row],[REQUISICIONES ABRIL 2021]]+Tabla1[[#This Row],[ENTRADAS ABRIL 2021]]</f>
        <v>0</v>
      </c>
      <c r="X848" s="284">
        <f>+Tabla1[[#This Row],[STOCK ABRIL 2021]]-Tabla1[[#This Row],[REQUISICIONES MAYO 2021]]+Tabla1[[#This Row],[ENTRADAS MAYO 2021]]</f>
        <v>0</v>
      </c>
      <c r="Y848" s="205">
        <f>+Tabla1[[#This Row],[STOCK MAYO 2021]]-Tabla1[[#This Row],[REQUISICIONES JUNIO 2021]]+Tabla1[[#This Row],[ENTRADAS JUNIO 2021]]</f>
        <v>1300</v>
      </c>
      <c r="Z848" s="161" t="s">
        <v>12</v>
      </c>
      <c r="AA848" s="320">
        <v>0</v>
      </c>
      <c r="AB848" s="252"/>
      <c r="AC848" s="321">
        <f t="shared" si="38"/>
        <v>0</v>
      </c>
    </row>
    <row r="849" spans="1:32" s="14" customFormat="1" x14ac:dyDescent="0.25">
      <c r="A849" s="323">
        <v>13</v>
      </c>
      <c r="B849" s="279">
        <v>44363</v>
      </c>
      <c r="C849" s="280" t="s">
        <v>11</v>
      </c>
      <c r="D849" s="317">
        <v>44354</v>
      </c>
      <c r="E849" s="281" t="s">
        <v>909</v>
      </c>
      <c r="F849" s="250"/>
      <c r="G849" s="251" t="s">
        <v>912</v>
      </c>
      <c r="H849" s="255"/>
      <c r="I849" s="255"/>
      <c r="J849" s="247">
        <f>+'INVENTARIO ABRIL-JUNIO 2021'!$H849-'INVENTARIO ABRIL-JUNIO 2021'!$I849</f>
        <v>0</v>
      </c>
      <c r="K849" s="255"/>
      <c r="L849" s="255"/>
      <c r="M849" s="255"/>
      <c r="N849" s="246"/>
      <c r="O849" s="247">
        <v>1300</v>
      </c>
      <c r="P849" s="255"/>
      <c r="Q849" s="255"/>
      <c r="R849" s="255"/>
      <c r="S849" s="255"/>
      <c r="T849" s="255"/>
      <c r="U849" s="247">
        <f>+Tabla1[[#This Row],[STOCK    FISICO ENERO 2021]]-Tabla1[[#This Row],[REQUISICIONES FEBRERO 2021]]</f>
        <v>0</v>
      </c>
      <c r="V849" s="247">
        <f>+Tabla1[[#This Row],[STOCK  FEBRERO 2021]]-Tabla1[[#This Row],[REQUISICIONES MARZO 2021]]+Tabla1[[#This Row],[ENTRADAS MARZO 2021]]</f>
        <v>0</v>
      </c>
      <c r="W849" s="284">
        <f>+Tabla1[[#This Row],[STOCK MARZO 2021]]-Tabla1[[#This Row],[REQUISICIONES ABRIL 2021]]+Tabla1[[#This Row],[ENTRADAS ABRIL 2021]]</f>
        <v>0</v>
      </c>
      <c r="X849" s="284">
        <f>+Tabla1[[#This Row],[STOCK ABRIL 2021]]-Tabla1[[#This Row],[REQUISICIONES MAYO 2021]]+Tabla1[[#This Row],[ENTRADAS MAYO 2021]]</f>
        <v>0</v>
      </c>
      <c r="Y849" s="205">
        <f>+Tabla1[[#This Row],[STOCK MAYO 2021]]-Tabla1[[#This Row],[REQUISICIONES JUNIO 2021]]+Tabla1[[#This Row],[ENTRADAS JUNIO 2021]]</f>
        <v>1300</v>
      </c>
      <c r="Z849" s="161" t="s">
        <v>12</v>
      </c>
      <c r="AA849" s="248">
        <v>0</v>
      </c>
      <c r="AB849" s="252"/>
      <c r="AC849" s="253">
        <f t="shared" si="38"/>
        <v>0</v>
      </c>
    </row>
    <row r="850" spans="1:32" s="8" customFormat="1" x14ac:dyDescent="0.25">
      <c r="A850" s="323">
        <v>14</v>
      </c>
      <c r="B850" s="157"/>
      <c r="C850" s="280" t="s">
        <v>11</v>
      </c>
      <c r="D850" s="157"/>
      <c r="E850" s="158"/>
      <c r="F850" s="181"/>
      <c r="G850" s="308" t="s">
        <v>821</v>
      </c>
      <c r="H850" s="309"/>
      <c r="I850" s="309"/>
      <c r="J850" s="205">
        <v>20</v>
      </c>
      <c r="K850" s="309"/>
      <c r="L850" s="309"/>
      <c r="M850" s="309"/>
      <c r="N850" s="309"/>
      <c r="O850" s="205"/>
      <c r="P850" s="309"/>
      <c r="Q850" s="309"/>
      <c r="R850" s="309"/>
      <c r="S850" s="309"/>
      <c r="T850" s="309"/>
      <c r="U850" s="205">
        <f>+Tabla1[[#This Row],[STOCK    FISICO ENERO 2021]]-Tabla1[[#This Row],[REQUISICIONES FEBRERO 2021]]</f>
        <v>20</v>
      </c>
      <c r="V850" s="205">
        <f>+Tabla1[[#This Row],[STOCK  FEBRERO 2021]]-Tabla1[[#This Row],[REQUISICIONES MARZO 2021]]+Tabla1[[#This Row],[ENTRADAS MARZO 2021]]</f>
        <v>20</v>
      </c>
      <c r="W850" s="205">
        <f>+Tabla1[[#This Row],[STOCK MARZO 2021]]-Tabla1[[#This Row],[REQUISICIONES ABRIL 2021]]+Tabla1[[#This Row],[ENTRADAS ABRIL 2021]]</f>
        <v>20</v>
      </c>
      <c r="X850" s="205">
        <f>+Tabla1[[#This Row],[STOCK ABRIL 2021]]-Tabla1[[#This Row],[REQUISICIONES MAYO 2021]]+Tabla1[[#This Row],[ENTRADAS MAYO 2021]]</f>
        <v>20</v>
      </c>
      <c r="Y850" s="205">
        <f>+Tabla1[[#This Row],[STOCK MAYO 2021]]-Tabla1[[#This Row],[REQUISICIONES JUNIO 2021]]+Tabla1[[#This Row],[ENTRADAS JUNIO 2021]]</f>
        <v>20</v>
      </c>
      <c r="Z850" s="161" t="s">
        <v>12</v>
      </c>
      <c r="AA850" s="162">
        <v>0</v>
      </c>
      <c r="AB850" s="133">
        <f t="shared" si="37"/>
        <v>0</v>
      </c>
      <c r="AC850" s="303">
        <f>Tabla1[[#This Row],[STOCK JUNIO ]]*Tabla1[[#This Row],[COSTO UNITARIO SIN ITBIS]]</f>
        <v>0</v>
      </c>
    </row>
    <row r="851" spans="1:32" s="8" customFormat="1" x14ac:dyDescent="0.25">
      <c r="A851" s="323">
        <v>15</v>
      </c>
      <c r="B851" s="274">
        <v>44169</v>
      </c>
      <c r="C851" s="304" t="s">
        <v>11</v>
      </c>
      <c r="D851" s="274">
        <v>44147</v>
      </c>
      <c r="E851" s="275"/>
      <c r="F851" s="304">
        <v>1369</v>
      </c>
      <c r="G851" s="305" t="s">
        <v>609</v>
      </c>
      <c r="H851" s="306">
        <v>30000</v>
      </c>
      <c r="I851" s="306"/>
      <c r="J851" s="306">
        <f>+'INVENTARIO ABRIL-JUNIO 2021'!$H851-'INVENTARIO ABRIL-JUNIO 2021'!$I851</f>
        <v>30000</v>
      </c>
      <c r="K851" s="306"/>
      <c r="L851" s="306"/>
      <c r="M851" s="306"/>
      <c r="N851" s="306"/>
      <c r="O851" s="307"/>
      <c r="P851" s="306"/>
      <c r="Q851" s="306"/>
      <c r="R851" s="306"/>
      <c r="S851" s="306"/>
      <c r="T851" s="306"/>
      <c r="U851" s="306">
        <f>+Tabla1[[#This Row],[STOCK    FISICO ENERO 2021]]-Tabla1[[#This Row],[REQUISICIONES FEBRERO 2021]]</f>
        <v>30000</v>
      </c>
      <c r="V851" s="306">
        <f>+Tabla1[[#This Row],[STOCK  FEBRERO 2021]]-Tabla1[[#This Row],[REQUISICIONES MARZO 2021]]+Tabla1[[#This Row],[ENTRADAS MARZO 2021]]</f>
        <v>30000</v>
      </c>
      <c r="W851" s="306">
        <f>+Tabla1[[#This Row],[STOCK MARZO 2021]]-Tabla1[[#This Row],[REQUISICIONES ABRIL 2021]]+Tabla1[[#This Row],[ENTRADAS ABRIL 2021]]</f>
        <v>30000</v>
      </c>
      <c r="X851" s="306">
        <f>+Tabla1[[#This Row],[STOCK ABRIL 2021]]-Tabla1[[#This Row],[REQUISICIONES MAYO 2021]]+Tabla1[[#This Row],[ENTRADAS MAYO 2021]]</f>
        <v>30000</v>
      </c>
      <c r="Y851" s="306">
        <f>+Tabla1[[#This Row],[STOCK MAYO 2021]]-Tabla1[[#This Row],[REQUISICIONES JUNIO 2021]]+Tabla1[[#This Row],[ENTRADAS JUNIO 2021]]</f>
        <v>30000</v>
      </c>
      <c r="Z851" s="254" t="s">
        <v>12</v>
      </c>
      <c r="AA851" s="276">
        <v>35.4</v>
      </c>
      <c r="AB851" s="277">
        <f t="shared" si="37"/>
        <v>41.771999999999998</v>
      </c>
      <c r="AC851" s="278">
        <f>Tabla1[[#This Row],[STOCK JUNIO ]]*Tabla1[[#This Row],[COSTO UNITARIO SIN ITBIS]]</f>
        <v>1062000</v>
      </c>
    </row>
    <row r="852" spans="1:32" s="10" customFormat="1" x14ac:dyDescent="0.25">
      <c r="A852" s="323">
        <v>16</v>
      </c>
      <c r="B852" s="31">
        <v>44169</v>
      </c>
      <c r="C852" s="28" t="s">
        <v>11</v>
      </c>
      <c r="D852" s="31">
        <v>44147</v>
      </c>
      <c r="E852" s="137"/>
      <c r="F852" s="13">
        <v>1420</v>
      </c>
      <c r="G852" s="75" t="s">
        <v>610</v>
      </c>
      <c r="H852" s="82">
        <v>65000</v>
      </c>
      <c r="I852" s="82"/>
      <c r="J852" s="82">
        <f>+'INVENTARIO ABRIL-JUNIO 2021'!$H852-'INVENTARIO ABRIL-JUNIO 2021'!$I852</f>
        <v>65000</v>
      </c>
      <c r="K852" s="82"/>
      <c r="L852" s="82"/>
      <c r="M852" s="82"/>
      <c r="N852" s="82"/>
      <c r="O852" s="298"/>
      <c r="P852" s="82"/>
      <c r="Q852" s="82"/>
      <c r="R852" s="82"/>
      <c r="S852" s="82"/>
      <c r="T852" s="82"/>
      <c r="U852" s="82">
        <f>+Tabla1[[#This Row],[STOCK    FISICO ENERO 2021]]-Tabla1[[#This Row],[REQUISICIONES FEBRERO 2021]]</f>
        <v>65000</v>
      </c>
      <c r="V852" s="82">
        <f>+Tabla1[[#This Row],[STOCK  FEBRERO 2021]]-Tabla1[[#This Row],[REQUISICIONES MARZO 2021]]+Tabla1[[#This Row],[ENTRADAS MARZO 2021]]</f>
        <v>65000</v>
      </c>
      <c r="W852" s="82">
        <f>+Tabla1[[#This Row],[STOCK MARZO 2021]]-Tabla1[[#This Row],[REQUISICIONES ABRIL 2021]]+Tabla1[[#This Row],[ENTRADAS ABRIL 2021]]</f>
        <v>65000</v>
      </c>
      <c r="X852" s="82">
        <f>+Tabla1[[#This Row],[STOCK ABRIL 2021]]-Tabla1[[#This Row],[REQUISICIONES MAYO 2021]]+Tabla1[[#This Row],[ENTRADAS MAYO 2021]]</f>
        <v>65000</v>
      </c>
      <c r="Y852" s="82">
        <f>+Tabla1[[#This Row],[STOCK MAYO 2021]]-Tabla1[[#This Row],[REQUISICIONES JUNIO 2021]]+Tabla1[[#This Row],[ENTRADAS JUNIO 2021]]</f>
        <v>65000</v>
      </c>
      <c r="Z852" s="73" t="s">
        <v>12</v>
      </c>
      <c r="AA852" s="76">
        <v>24.04</v>
      </c>
      <c r="AB852" s="35">
        <f>+AA852*0.18+AA852</f>
        <v>28.367199999999997</v>
      </c>
      <c r="AC852" s="93">
        <f>Tabla1[[#This Row],[STOCK JUNIO ]]*Tabla1[[#This Row],[COSTO UNITARIO SIN ITBIS]]</f>
        <v>1562600</v>
      </c>
    </row>
    <row r="853" spans="1:32" s="10" customFormat="1" x14ac:dyDescent="0.25">
      <c r="A853" s="323">
        <v>17</v>
      </c>
      <c r="B853" s="117"/>
      <c r="C853" s="13" t="s">
        <v>11</v>
      </c>
      <c r="D853" s="117"/>
      <c r="E853" s="138"/>
      <c r="F853" s="118"/>
      <c r="G853" s="119" t="s">
        <v>773</v>
      </c>
      <c r="H853" s="120"/>
      <c r="I853" s="120"/>
      <c r="J853" s="120">
        <f>+'INVENTARIO ABRIL-JUNIO 2021'!$H853-'INVENTARIO ABRIL-JUNIO 2021'!$I853+78+88</f>
        <v>166</v>
      </c>
      <c r="K853" s="120"/>
      <c r="L853" s="120"/>
      <c r="M853" s="120"/>
      <c r="N853" s="120"/>
      <c r="O853" s="121"/>
      <c r="P853" s="120"/>
      <c r="Q853" s="120">
        <v>2</v>
      </c>
      <c r="R853" s="120">
        <v>10</v>
      </c>
      <c r="S853" s="120"/>
      <c r="T853" s="120">
        <v>1</v>
      </c>
      <c r="U853" s="121">
        <f>+Tabla1[[#This Row],[STOCK    FISICO ENERO 2021]]-Tabla1[[#This Row],[REQUISICIONES FEBRERO 2021]]</f>
        <v>166</v>
      </c>
      <c r="V853" s="121">
        <f>+Tabla1[[#This Row],[STOCK  FEBRERO 2021]]-Tabla1[[#This Row],[REQUISICIONES MARZO 2021]]+Tabla1[[#This Row],[ENTRADAS MARZO 2021]]</f>
        <v>164</v>
      </c>
      <c r="W853" s="121">
        <f>+Tabla1[[#This Row],[STOCK MARZO 2021]]-Tabla1[[#This Row],[REQUISICIONES ABRIL 2021]]+Tabla1[[#This Row],[ENTRADAS ABRIL 2021]]</f>
        <v>154</v>
      </c>
      <c r="X853" s="121">
        <f>+Tabla1[[#This Row],[STOCK ABRIL 2021]]-Tabla1[[#This Row],[REQUISICIONES MAYO 2021]]+Tabla1[[#This Row],[ENTRADAS MAYO 2021]]</f>
        <v>154</v>
      </c>
      <c r="Y853" s="121">
        <f>+Tabla1[[#This Row],[STOCK MAYO 2021]]-Tabla1[[#This Row],[REQUISICIONES JUNIO 2021]]+Tabla1[[#This Row],[ENTRADAS JUNIO 2021]]</f>
        <v>153</v>
      </c>
      <c r="Z853" s="73" t="s">
        <v>12</v>
      </c>
      <c r="AA853" s="122"/>
      <c r="AB853" s="123"/>
      <c r="AC853" s="93">
        <f>Tabla1[[#This Row],[STOCK JUNIO ]]*Tabla1[[#This Row],[COSTO UNITARIO SIN ITBIS]]</f>
        <v>0</v>
      </c>
    </row>
    <row r="854" spans="1:32" s="8" customFormat="1" x14ac:dyDescent="0.25">
      <c r="A854" s="323">
        <v>18</v>
      </c>
      <c r="B854" s="74"/>
      <c r="C854" s="28" t="s">
        <v>11</v>
      </c>
      <c r="D854" s="74"/>
      <c r="E854" s="145"/>
      <c r="F854" s="43"/>
      <c r="G854" s="83" t="s">
        <v>621</v>
      </c>
      <c r="H854" s="82">
        <v>4</v>
      </c>
      <c r="I854" s="82"/>
      <c r="J854" s="82">
        <f>+'INVENTARIO ABRIL-JUNIO 2021'!$H854-'INVENTARIO ABRIL-JUNIO 2021'!$I854</f>
        <v>4</v>
      </c>
      <c r="K854" s="82"/>
      <c r="L854" s="82"/>
      <c r="M854" s="82"/>
      <c r="N854" s="82"/>
      <c r="O854" s="298"/>
      <c r="P854" s="82"/>
      <c r="Q854" s="82"/>
      <c r="R854" s="82"/>
      <c r="S854" s="82"/>
      <c r="T854" s="82"/>
      <c r="U854" s="82">
        <f>+Tabla1[[#This Row],[STOCK    FISICO ENERO 2021]]-Tabla1[[#This Row],[REQUISICIONES FEBRERO 2021]]</f>
        <v>4</v>
      </c>
      <c r="V854" s="82">
        <f>+Tabla1[[#This Row],[STOCK  FEBRERO 2021]]-Tabla1[[#This Row],[REQUISICIONES MARZO 2021]]+Tabla1[[#This Row],[ENTRADAS MARZO 2021]]</f>
        <v>4</v>
      </c>
      <c r="W854" s="82">
        <f>+Tabla1[[#This Row],[STOCK MARZO 2021]]-Tabla1[[#This Row],[REQUISICIONES ABRIL 2021]]+Tabla1[[#This Row],[ENTRADAS ABRIL 2021]]</f>
        <v>4</v>
      </c>
      <c r="X854" s="82">
        <f>+Tabla1[[#This Row],[STOCK ABRIL 2021]]-Tabla1[[#This Row],[REQUISICIONES MAYO 2021]]+Tabla1[[#This Row],[ENTRADAS MAYO 2021]]</f>
        <v>4</v>
      </c>
      <c r="Y854" s="82">
        <f>+Tabla1[[#This Row],[STOCK MAYO 2021]]-Tabla1[[#This Row],[REQUISICIONES JUNIO 2021]]+Tabla1[[#This Row],[ENTRADAS JUNIO 2021]]</f>
        <v>4</v>
      </c>
      <c r="Z854" s="83"/>
      <c r="AA854" s="84">
        <v>0</v>
      </c>
      <c r="AB854" s="35">
        <v>0</v>
      </c>
      <c r="AC854" s="93">
        <f>Tabla1[[#This Row],[STOCK JUNIO ]]*Tabla1[[#This Row],[COSTO UNITARIO SIN ITBIS]]</f>
        <v>0</v>
      </c>
    </row>
    <row r="855" spans="1:32" s="8" customFormat="1" x14ac:dyDescent="0.25">
      <c r="A855" s="323">
        <v>19</v>
      </c>
      <c r="B855" s="42">
        <v>43362</v>
      </c>
      <c r="C855" s="41" t="s">
        <v>11</v>
      </c>
      <c r="D855" s="42">
        <v>43362</v>
      </c>
      <c r="E855" s="139"/>
      <c r="F855" s="28">
        <v>1429</v>
      </c>
      <c r="G855" s="32" t="s">
        <v>611</v>
      </c>
      <c r="H855" s="63"/>
      <c r="I855" s="63"/>
      <c r="J855" s="63">
        <f>+'INVENTARIO ABRIL-JUNIO 2021'!$H855-'INVENTARIO ABRIL-JUNIO 2021'!$I855</f>
        <v>0</v>
      </c>
      <c r="K855" s="63"/>
      <c r="L855" s="63"/>
      <c r="M855" s="63"/>
      <c r="N855" s="63"/>
      <c r="O855" s="125"/>
      <c r="P855" s="63"/>
      <c r="Q855" s="63"/>
      <c r="R855" s="63"/>
      <c r="S855" s="63"/>
      <c r="T855" s="63"/>
      <c r="U855" s="63">
        <f>+Tabla1[[#This Row],[STOCK    FISICO ENERO 2021]]-Tabla1[[#This Row],[REQUISICIONES FEBRERO 2021]]</f>
        <v>0</v>
      </c>
      <c r="V855" s="63">
        <f>+Tabla1[[#This Row],[STOCK  FEBRERO 2021]]-Tabla1[[#This Row],[REQUISICIONES MARZO 2021]]+Tabla1[[#This Row],[ENTRADAS MARZO 2021]]</f>
        <v>0</v>
      </c>
      <c r="W855" s="63">
        <f>+Tabla1[[#This Row],[STOCK MARZO 2021]]-Tabla1[[#This Row],[REQUISICIONES ABRIL 2021]]+Tabla1[[#This Row],[ENTRADAS ABRIL 2021]]</f>
        <v>0</v>
      </c>
      <c r="X855" s="63">
        <f>+Tabla1[[#This Row],[STOCK ABRIL 2021]]-Tabla1[[#This Row],[REQUISICIONES MAYO 2021]]+Tabla1[[#This Row],[ENTRADAS MAYO 2021]]</f>
        <v>0</v>
      </c>
      <c r="Y855" s="63">
        <f>+Tabla1[[#This Row],[STOCK MAYO 2021]]-Tabla1[[#This Row],[REQUISICIONES JUNIO 2021]]+Tabla1[[#This Row],[ENTRADAS JUNIO 2021]]</f>
        <v>0</v>
      </c>
      <c r="Z855" s="30" t="s">
        <v>12</v>
      </c>
      <c r="AA855" s="34">
        <v>595</v>
      </c>
      <c r="AB855" s="35">
        <f>+AA855*0.18+AA855</f>
        <v>702.1</v>
      </c>
      <c r="AC855" s="93">
        <f>Tabla1[[#This Row],[STOCK JUNIO ]]*Tabla1[[#This Row],[COSTO UNITARIO SIN ITBIS]]</f>
        <v>0</v>
      </c>
    </row>
    <row r="856" spans="1:32" s="8" customFormat="1" ht="24.75" x14ac:dyDescent="0.25">
      <c r="A856" s="323">
        <v>20</v>
      </c>
      <c r="B856" s="42">
        <v>43362</v>
      </c>
      <c r="C856" s="41" t="s">
        <v>11</v>
      </c>
      <c r="D856" s="42">
        <v>43362</v>
      </c>
      <c r="E856" s="139"/>
      <c r="F856" s="28">
        <v>1428</v>
      </c>
      <c r="G856" s="32" t="s">
        <v>612</v>
      </c>
      <c r="H856" s="63">
        <v>28</v>
      </c>
      <c r="I856" s="63"/>
      <c r="J856" s="63">
        <f>+'INVENTARIO ABRIL-JUNIO 2021'!$H856-'INVENTARIO ABRIL-JUNIO 2021'!$I856</f>
        <v>28</v>
      </c>
      <c r="K856" s="63"/>
      <c r="L856" s="63"/>
      <c r="M856" s="63"/>
      <c r="N856" s="63"/>
      <c r="O856" s="125"/>
      <c r="P856" s="63"/>
      <c r="Q856" s="63"/>
      <c r="R856" s="63"/>
      <c r="S856" s="63"/>
      <c r="T856" s="63"/>
      <c r="U856" s="63">
        <f>+Tabla1[[#This Row],[STOCK    FISICO ENERO 2021]]-Tabla1[[#This Row],[REQUISICIONES FEBRERO 2021]]</f>
        <v>28</v>
      </c>
      <c r="V856" s="63">
        <f>+Tabla1[[#This Row],[STOCK  FEBRERO 2021]]-Tabla1[[#This Row],[REQUISICIONES MARZO 2021]]+Tabla1[[#This Row],[ENTRADAS MARZO 2021]]</f>
        <v>28</v>
      </c>
      <c r="W856" s="63">
        <f>+Tabla1[[#This Row],[STOCK MARZO 2021]]-Tabla1[[#This Row],[REQUISICIONES ABRIL 2021]]+Tabla1[[#This Row],[ENTRADAS ABRIL 2021]]</f>
        <v>28</v>
      </c>
      <c r="X856" s="63">
        <f>+Tabla1[[#This Row],[STOCK ABRIL 2021]]-Tabla1[[#This Row],[REQUISICIONES MAYO 2021]]+Tabla1[[#This Row],[ENTRADAS MAYO 2021]]</f>
        <v>28</v>
      </c>
      <c r="Y856" s="63">
        <f>+Tabla1[[#This Row],[STOCK MAYO 2021]]-Tabla1[[#This Row],[REQUISICIONES JUNIO 2021]]+Tabla1[[#This Row],[ENTRADAS JUNIO 2021]]</f>
        <v>28</v>
      </c>
      <c r="Z856" s="30" t="s">
        <v>12</v>
      </c>
      <c r="AA856" s="34">
        <v>845</v>
      </c>
      <c r="AB856" s="35">
        <f>+AA856*0.18+AA856</f>
        <v>997.1</v>
      </c>
      <c r="AC856" s="93">
        <f>Tabla1[[#This Row],[STOCK JUNIO ]]*Tabla1[[#This Row],[COSTO UNITARIO SIN ITBIS]]</f>
        <v>23660</v>
      </c>
    </row>
    <row r="857" spans="1:32" s="8" customFormat="1" ht="15.75" customHeight="1" x14ac:dyDescent="0.25">
      <c r="A857" s="323">
        <v>21</v>
      </c>
      <c r="B857" s="31">
        <v>43405</v>
      </c>
      <c r="C857" s="28" t="s">
        <v>11</v>
      </c>
      <c r="D857" s="31">
        <v>43405</v>
      </c>
      <c r="E857" s="137"/>
      <c r="F857" s="13">
        <v>1463</v>
      </c>
      <c r="G857" s="75" t="s">
        <v>613</v>
      </c>
      <c r="H857" s="72"/>
      <c r="I857" s="72"/>
      <c r="J857" s="72">
        <f>+'INVENTARIO ABRIL-JUNIO 2021'!$H857-'INVENTARIO ABRIL-JUNIO 2021'!$I857</f>
        <v>0</v>
      </c>
      <c r="K857" s="72"/>
      <c r="L857" s="72"/>
      <c r="M857" s="72"/>
      <c r="N857" s="72"/>
      <c r="O857" s="296"/>
      <c r="P857" s="72"/>
      <c r="Q857" s="72"/>
      <c r="R857" s="72"/>
      <c r="S857" s="72"/>
      <c r="T857" s="72"/>
      <c r="U857" s="72">
        <f>+Tabla1[[#This Row],[STOCK    FISICO ENERO 2021]]-Tabla1[[#This Row],[REQUISICIONES FEBRERO 2021]]</f>
        <v>0</v>
      </c>
      <c r="V857" s="72">
        <f>+Tabla1[[#This Row],[STOCK  FEBRERO 2021]]-Tabla1[[#This Row],[REQUISICIONES MARZO 2021]]+Tabla1[[#This Row],[ENTRADAS MARZO 2021]]</f>
        <v>0</v>
      </c>
      <c r="W857" s="72">
        <f>+Tabla1[[#This Row],[STOCK MARZO 2021]]-Tabla1[[#This Row],[REQUISICIONES ABRIL 2021]]+Tabla1[[#This Row],[ENTRADAS ABRIL 2021]]</f>
        <v>0</v>
      </c>
      <c r="X857" s="72">
        <f>+Tabla1[[#This Row],[STOCK ABRIL 2021]]-Tabla1[[#This Row],[REQUISICIONES MAYO 2021]]+Tabla1[[#This Row],[ENTRADAS MAYO 2021]]</f>
        <v>0</v>
      </c>
      <c r="Y857" s="72">
        <f>+Tabla1[[#This Row],[STOCK MAYO 2021]]-Tabla1[[#This Row],[REQUISICIONES JUNIO 2021]]+Tabla1[[#This Row],[ENTRADAS JUNIO 2021]]</f>
        <v>0</v>
      </c>
      <c r="Z857" s="73" t="s">
        <v>12</v>
      </c>
      <c r="AA857" s="76">
        <v>4500</v>
      </c>
      <c r="AB857" s="35">
        <f>+AA857*0.18+AA857</f>
        <v>5310</v>
      </c>
      <c r="AC857" s="93">
        <f>Tabla1[[#This Row],[STOCK JUNIO ]]*Tabla1[[#This Row],[COSTO UNITARIO SIN ITBIS]]</f>
        <v>0</v>
      </c>
    </row>
    <row r="858" spans="1:32" s="8" customFormat="1" ht="36.75" x14ac:dyDescent="0.25">
      <c r="A858" s="323">
        <v>22</v>
      </c>
      <c r="B858" s="31">
        <v>43405</v>
      </c>
      <c r="C858" s="28" t="s">
        <v>11</v>
      </c>
      <c r="D858" s="31">
        <v>43405</v>
      </c>
      <c r="E858" s="137"/>
      <c r="F858" s="28">
        <v>1453</v>
      </c>
      <c r="G858" s="32" t="s">
        <v>614</v>
      </c>
      <c r="H858" s="63">
        <v>199</v>
      </c>
      <c r="I858" s="63"/>
      <c r="J858" s="63">
        <f>+'INVENTARIO ABRIL-JUNIO 2021'!$H858-'INVENTARIO ABRIL-JUNIO 2021'!$I858</f>
        <v>199</v>
      </c>
      <c r="K858" s="63"/>
      <c r="L858" s="63"/>
      <c r="M858" s="63"/>
      <c r="N858" s="63"/>
      <c r="O858" s="125"/>
      <c r="P858" s="63"/>
      <c r="Q858" s="63"/>
      <c r="R858" s="63"/>
      <c r="S858" s="63"/>
      <c r="T858" s="63"/>
      <c r="U858" s="63">
        <f>+Tabla1[[#This Row],[STOCK    FISICO ENERO 2021]]-Tabla1[[#This Row],[REQUISICIONES FEBRERO 2021]]</f>
        <v>199</v>
      </c>
      <c r="V858" s="63">
        <f>+Tabla1[[#This Row],[STOCK  FEBRERO 2021]]-Tabla1[[#This Row],[REQUISICIONES MARZO 2021]]+Tabla1[[#This Row],[ENTRADAS MARZO 2021]]</f>
        <v>199</v>
      </c>
      <c r="W858" s="63">
        <f>+Tabla1[[#This Row],[STOCK MARZO 2021]]-Tabla1[[#This Row],[REQUISICIONES ABRIL 2021]]+Tabla1[[#This Row],[ENTRADAS ABRIL 2021]]</f>
        <v>199</v>
      </c>
      <c r="X858" s="63">
        <f>+Tabla1[[#This Row],[STOCK ABRIL 2021]]-Tabla1[[#This Row],[REQUISICIONES MAYO 2021]]+Tabla1[[#This Row],[ENTRADAS MAYO 2021]]</f>
        <v>199</v>
      </c>
      <c r="Y858" s="63">
        <f>+Tabla1[[#This Row],[STOCK MAYO 2021]]-Tabla1[[#This Row],[REQUISICIONES JUNIO 2021]]+Tabla1[[#This Row],[ENTRADAS JUNIO 2021]]</f>
        <v>199</v>
      </c>
      <c r="Z858" s="30" t="s">
        <v>12</v>
      </c>
      <c r="AA858" s="34">
        <v>772.75</v>
      </c>
      <c r="AB858" s="35">
        <f>+AA858*0.18+AA858</f>
        <v>911.84500000000003</v>
      </c>
      <c r="AC858" s="93">
        <f>Tabla1[[#This Row],[STOCK JUNIO ]]*Tabla1[[#This Row],[COSTO UNITARIO SIN ITBIS]]</f>
        <v>153777.25</v>
      </c>
      <c r="AF858" s="163"/>
    </row>
    <row r="859" spans="1:32" s="8" customFormat="1" x14ac:dyDescent="0.25">
      <c r="A859" s="323">
        <v>23</v>
      </c>
      <c r="B859" s="74">
        <v>43535</v>
      </c>
      <c r="C859" s="13" t="s">
        <v>11</v>
      </c>
      <c r="D859" s="74">
        <v>43535</v>
      </c>
      <c r="E859" s="145"/>
      <c r="F859" s="28">
        <v>1454</v>
      </c>
      <c r="G859" s="32" t="s">
        <v>615</v>
      </c>
      <c r="H859" s="63">
        <v>80</v>
      </c>
      <c r="I859" s="63"/>
      <c r="J859" s="63">
        <f>+'INVENTARIO ABRIL-JUNIO 2021'!$H859-'INVENTARIO ABRIL-JUNIO 2021'!$I859</f>
        <v>80</v>
      </c>
      <c r="K859" s="63"/>
      <c r="L859" s="63"/>
      <c r="M859" s="63"/>
      <c r="N859" s="63"/>
      <c r="O859" s="125"/>
      <c r="P859" s="63"/>
      <c r="Q859" s="63"/>
      <c r="R859" s="63"/>
      <c r="S859" s="63"/>
      <c r="T859" s="63"/>
      <c r="U859" s="63">
        <f>+Tabla1[[#This Row],[STOCK    FISICO ENERO 2021]]-Tabla1[[#This Row],[REQUISICIONES FEBRERO 2021]]</f>
        <v>80</v>
      </c>
      <c r="V859" s="63">
        <f>+Tabla1[[#This Row],[STOCK  FEBRERO 2021]]-Tabla1[[#This Row],[REQUISICIONES MARZO 2021]]+Tabla1[[#This Row],[ENTRADAS MARZO 2021]]</f>
        <v>80</v>
      </c>
      <c r="W859" s="63">
        <f>+Tabla1[[#This Row],[STOCK MARZO 2021]]-Tabla1[[#This Row],[REQUISICIONES ABRIL 2021]]+Tabla1[[#This Row],[ENTRADAS ABRIL 2021]]</f>
        <v>80</v>
      </c>
      <c r="X859" s="63">
        <f>+Tabla1[[#This Row],[STOCK ABRIL 2021]]-Tabla1[[#This Row],[REQUISICIONES MAYO 2021]]+Tabla1[[#This Row],[ENTRADAS MAYO 2021]]</f>
        <v>80</v>
      </c>
      <c r="Y859" s="63">
        <f>+Tabla1[[#This Row],[STOCK MAYO 2021]]-Tabla1[[#This Row],[REQUISICIONES JUNIO 2021]]+Tabla1[[#This Row],[ENTRADAS JUNIO 2021]]</f>
        <v>80</v>
      </c>
      <c r="Z859" s="30" t="s">
        <v>12</v>
      </c>
      <c r="AA859" s="34">
        <v>300</v>
      </c>
      <c r="AB859" s="35">
        <f>+AA859*0.18+AA859</f>
        <v>354</v>
      </c>
      <c r="AC859" s="93">
        <f>Tabla1[[#This Row],[STOCK JUNIO ]]*Tabla1[[#This Row],[COSTO UNITARIO SIN ITBIS]]</f>
        <v>24000</v>
      </c>
    </row>
    <row r="860" spans="1:32" s="8" customFormat="1" x14ac:dyDescent="0.25">
      <c r="A860" s="323">
        <v>24</v>
      </c>
      <c r="B860" s="53"/>
      <c r="C860" s="13" t="s">
        <v>11</v>
      </c>
      <c r="D860" s="53"/>
      <c r="E860" s="140"/>
      <c r="F860" s="54"/>
      <c r="G860" s="32" t="s">
        <v>819</v>
      </c>
      <c r="H860" s="68">
        <v>10</v>
      </c>
      <c r="I860" s="68"/>
      <c r="J860" s="68">
        <f>+'INVENTARIO ABRIL-JUNIO 2021'!$H860-'INVENTARIO ABRIL-JUNIO 2021'!$I860</f>
        <v>10</v>
      </c>
      <c r="K860" s="68"/>
      <c r="L860" s="68"/>
      <c r="M860" s="68"/>
      <c r="N860" s="68"/>
      <c r="O860" s="178"/>
      <c r="P860" s="68"/>
      <c r="Q860" s="68"/>
      <c r="R860" s="68"/>
      <c r="S860" s="68"/>
      <c r="T860" s="68"/>
      <c r="U860" s="68">
        <f>+Tabla1[[#This Row],[STOCK    FISICO ENERO 2021]]-Tabla1[[#This Row],[REQUISICIONES FEBRERO 2021]]</f>
        <v>10</v>
      </c>
      <c r="V860" s="68">
        <f>+Tabla1[[#This Row],[STOCK  FEBRERO 2021]]-Tabla1[[#This Row],[REQUISICIONES MARZO 2021]]+Tabla1[[#This Row],[ENTRADAS MARZO 2021]]</f>
        <v>10</v>
      </c>
      <c r="W860" s="68">
        <f>+Tabla1[[#This Row],[STOCK MARZO 2021]]-Tabla1[[#This Row],[REQUISICIONES ABRIL 2021]]+Tabla1[[#This Row],[ENTRADAS ABRIL 2021]]</f>
        <v>10</v>
      </c>
      <c r="X860" s="68">
        <f>+Tabla1[[#This Row],[STOCK ABRIL 2021]]-Tabla1[[#This Row],[REQUISICIONES MAYO 2021]]+Tabla1[[#This Row],[ENTRADAS MAYO 2021]]</f>
        <v>10</v>
      </c>
      <c r="Y860" s="68">
        <f>+Tabla1[[#This Row],[STOCK MAYO 2021]]-Tabla1[[#This Row],[REQUISICIONES JUNIO 2021]]+Tabla1[[#This Row],[ENTRADAS JUNIO 2021]]</f>
        <v>10</v>
      </c>
      <c r="Z860" s="30" t="s">
        <v>12</v>
      </c>
      <c r="AA860" s="41"/>
      <c r="AB860" s="35"/>
      <c r="AC860" s="93">
        <f>Tabla1[[#This Row],[STOCK JUNIO ]]*Tabla1[[#This Row],[COSTO UNITARIO SIN ITBIS]]</f>
        <v>0</v>
      </c>
    </row>
    <row r="861" spans="1:32" s="8" customFormat="1" x14ac:dyDescent="0.25">
      <c r="A861" s="323">
        <v>25</v>
      </c>
      <c r="B861" s="42"/>
      <c r="C861" s="13" t="s">
        <v>11</v>
      </c>
      <c r="D861" s="42"/>
      <c r="E861" s="139"/>
      <c r="F861" s="28"/>
      <c r="G861" s="32" t="s">
        <v>622</v>
      </c>
      <c r="H861" s="63">
        <v>5</v>
      </c>
      <c r="I861" s="63"/>
      <c r="J861" s="63">
        <f>+'INVENTARIO ABRIL-JUNIO 2021'!$H861-'INVENTARIO ABRIL-JUNIO 2021'!$I861</f>
        <v>5</v>
      </c>
      <c r="K861" s="63"/>
      <c r="L861" s="63"/>
      <c r="M861" s="63"/>
      <c r="N861" s="63"/>
      <c r="O861" s="125"/>
      <c r="P861" s="63"/>
      <c r="Q861" s="63"/>
      <c r="R861" s="63"/>
      <c r="S861" s="63"/>
      <c r="T861" s="63"/>
      <c r="U861" s="63">
        <f>+Tabla1[[#This Row],[STOCK    FISICO ENERO 2021]]-Tabla1[[#This Row],[REQUISICIONES FEBRERO 2021]]</f>
        <v>5</v>
      </c>
      <c r="V861" s="63">
        <f>+Tabla1[[#This Row],[STOCK  FEBRERO 2021]]-Tabla1[[#This Row],[REQUISICIONES MARZO 2021]]+Tabla1[[#This Row],[ENTRADAS MARZO 2021]]</f>
        <v>5</v>
      </c>
      <c r="W861" s="63">
        <f>+Tabla1[[#This Row],[STOCK MARZO 2021]]-Tabla1[[#This Row],[REQUISICIONES ABRIL 2021]]+Tabla1[[#This Row],[ENTRADAS ABRIL 2021]]</f>
        <v>5</v>
      </c>
      <c r="X861" s="63">
        <f>+Tabla1[[#This Row],[STOCK ABRIL 2021]]-Tabla1[[#This Row],[REQUISICIONES MAYO 2021]]+Tabla1[[#This Row],[ENTRADAS MAYO 2021]]</f>
        <v>5</v>
      </c>
      <c r="Y861" s="63">
        <f>+Tabla1[[#This Row],[STOCK MAYO 2021]]-Tabla1[[#This Row],[REQUISICIONES JUNIO 2021]]+Tabla1[[#This Row],[ENTRADAS JUNIO 2021]]</f>
        <v>5</v>
      </c>
      <c r="Z861" s="30" t="s">
        <v>12</v>
      </c>
      <c r="AA861" s="34"/>
      <c r="AB861" s="35"/>
      <c r="AC861" s="93">
        <f>Tabla1[[#This Row],[STOCK JUNIO ]]*Tabla1[[#This Row],[COSTO UNITARIO SIN ITBIS]]</f>
        <v>0</v>
      </c>
    </row>
    <row r="862" spans="1:32" s="9" customFormat="1" x14ac:dyDescent="0.25">
      <c r="A862" s="323">
        <v>26</v>
      </c>
      <c r="B862" s="31">
        <v>43206</v>
      </c>
      <c r="C862" s="13" t="s">
        <v>11</v>
      </c>
      <c r="D862" s="31">
        <v>43206</v>
      </c>
      <c r="E862" s="137"/>
      <c r="F862" s="28"/>
      <c r="G862" s="32" t="s">
        <v>699</v>
      </c>
      <c r="H862" s="82">
        <v>40</v>
      </c>
      <c r="I862" s="82"/>
      <c r="J862" s="82">
        <f>+'INVENTARIO ABRIL-JUNIO 2021'!$H862-'INVENTARIO ABRIL-JUNIO 2021'!$I862</f>
        <v>40</v>
      </c>
      <c r="K862" s="82"/>
      <c r="L862" s="82"/>
      <c r="M862" s="82"/>
      <c r="N862" s="82"/>
      <c r="O862" s="298"/>
      <c r="P862" s="82"/>
      <c r="Q862" s="82"/>
      <c r="R862" s="82"/>
      <c r="S862" s="82"/>
      <c r="T862" s="82"/>
      <c r="U862" s="82">
        <f>+Tabla1[[#This Row],[STOCK    FISICO ENERO 2021]]-Tabla1[[#This Row],[REQUISICIONES FEBRERO 2021]]</f>
        <v>40</v>
      </c>
      <c r="V862" s="82">
        <f>+Tabla1[[#This Row],[STOCK  FEBRERO 2021]]-Tabla1[[#This Row],[REQUISICIONES MARZO 2021]]+Tabla1[[#This Row],[ENTRADAS MARZO 2021]]</f>
        <v>40</v>
      </c>
      <c r="W862" s="82">
        <f>+Tabla1[[#This Row],[STOCK MARZO 2021]]-Tabla1[[#This Row],[REQUISICIONES ABRIL 2021]]+Tabla1[[#This Row],[ENTRADAS ABRIL 2021]]</f>
        <v>40</v>
      </c>
      <c r="X862" s="82">
        <f>+Tabla1[[#This Row],[STOCK ABRIL 2021]]-Tabla1[[#This Row],[REQUISICIONES MAYO 2021]]+Tabla1[[#This Row],[ENTRADAS MAYO 2021]]</f>
        <v>40</v>
      </c>
      <c r="Y862" s="82">
        <f>+Tabla1[[#This Row],[STOCK MAYO 2021]]-Tabla1[[#This Row],[REQUISICIONES JUNIO 2021]]+Tabla1[[#This Row],[ENTRADAS JUNIO 2021]]</f>
        <v>40</v>
      </c>
      <c r="Z862" s="30" t="s">
        <v>12</v>
      </c>
      <c r="AA862" s="34"/>
      <c r="AB862" s="35">
        <f>+AA862*0.18+AA862</f>
        <v>0</v>
      </c>
      <c r="AC862" s="93">
        <f>Tabla1[[#This Row],[STOCK JUNIO ]]*Tabla1[[#This Row],[COSTO UNITARIO SIN ITBIS]]</f>
        <v>0</v>
      </c>
    </row>
    <row r="863" spans="1:32" s="9" customFormat="1" x14ac:dyDescent="0.25">
      <c r="A863" s="323">
        <v>27</v>
      </c>
      <c r="B863" s="110">
        <v>44253</v>
      </c>
      <c r="C863" s="13" t="s">
        <v>11</v>
      </c>
      <c r="D863" s="110">
        <v>44556</v>
      </c>
      <c r="E863" s="142"/>
      <c r="F863" s="241"/>
      <c r="G863" s="112" t="s">
        <v>723</v>
      </c>
      <c r="H863" s="113"/>
      <c r="I863" s="113"/>
      <c r="J863" s="113">
        <f>+'INVENTARIO ABRIL-JUNIO 2021'!$H863-'INVENTARIO ABRIL-JUNIO 2021'!$I863</f>
        <v>0</v>
      </c>
      <c r="K863" s="113">
        <v>930</v>
      </c>
      <c r="L863" s="113"/>
      <c r="M863" s="113"/>
      <c r="N863" s="113"/>
      <c r="O863" s="114"/>
      <c r="P863" s="113">
        <v>930</v>
      </c>
      <c r="Q863" s="113"/>
      <c r="R863" s="113"/>
      <c r="S863" s="113"/>
      <c r="T863" s="113"/>
      <c r="U863" s="114">
        <f>+Tabla1[[#This Row],[STOCK    FISICO ENERO 2021]]-Tabla1[[#This Row],[REQUISICIONES FEBRERO 2021]]+930</f>
        <v>0</v>
      </c>
      <c r="V863" s="114">
        <f>+Tabla1[[#This Row],[STOCK  FEBRERO 2021]]-Tabla1[[#This Row],[REQUISICIONES MARZO 2021]]+Tabla1[[#This Row],[ENTRADAS MARZO 2021]]</f>
        <v>0</v>
      </c>
      <c r="W863" s="114">
        <f>+Tabla1[[#This Row],[STOCK MARZO 2021]]-Tabla1[[#This Row],[REQUISICIONES ABRIL 2021]]+Tabla1[[#This Row],[ENTRADAS ABRIL 2021]]</f>
        <v>0</v>
      </c>
      <c r="X863" s="114">
        <f>+Tabla1[[#This Row],[STOCK ABRIL 2021]]-Tabla1[[#This Row],[REQUISICIONES MAYO 2021]]+Tabla1[[#This Row],[ENTRADAS MAYO 2021]]</f>
        <v>0</v>
      </c>
      <c r="Y863" s="114">
        <f>+Tabla1[[#This Row],[STOCK MAYO 2021]]-Tabla1[[#This Row],[REQUISICIONES JUNIO 2021]]+Tabla1[[#This Row],[ENTRADAS JUNIO 2021]]</f>
        <v>0</v>
      </c>
      <c r="Z863" s="30" t="s">
        <v>12</v>
      </c>
      <c r="AA863" s="116">
        <v>71</v>
      </c>
      <c r="AB863" s="35">
        <f>+AA863*0.18+AA863</f>
        <v>83.78</v>
      </c>
      <c r="AC863" s="93">
        <f>Tabla1[[#This Row],[STOCK JUNIO ]]*Tabla1[[#This Row],[COSTO UNITARIO SIN ITBIS]]</f>
        <v>0</v>
      </c>
    </row>
    <row r="864" spans="1:32" s="9" customFormat="1" x14ac:dyDescent="0.25">
      <c r="A864" s="323">
        <v>28</v>
      </c>
      <c r="B864" s="31"/>
      <c r="C864" s="28"/>
      <c r="D864" s="31"/>
      <c r="E864" s="137" t="s">
        <v>880</v>
      </c>
      <c r="F864" s="129"/>
      <c r="G864" s="32" t="s">
        <v>879</v>
      </c>
      <c r="H864" s="63"/>
      <c r="I864" s="63"/>
      <c r="J864" s="63">
        <f>+'INVENTARIO ABRIL-JUNIO 2021'!$H864-'INVENTARIO ABRIL-JUNIO 2021'!$I864+15*20+1*10</f>
        <v>310</v>
      </c>
      <c r="K864" s="63"/>
      <c r="L864" s="63"/>
      <c r="M864" s="63"/>
      <c r="N864" s="196"/>
      <c r="O864" s="125"/>
      <c r="P864" s="63"/>
      <c r="Q864" s="63"/>
      <c r="R864" s="63"/>
      <c r="S864" s="63">
        <v>10</v>
      </c>
      <c r="T864" s="63">
        <f>20+10</f>
        <v>30</v>
      </c>
      <c r="U864" s="125">
        <f>+Tabla1[[#This Row],[STOCK    FISICO ENERO 2021]]-Tabla1[[#This Row],[REQUISICIONES FEBRERO 2021]]</f>
        <v>310</v>
      </c>
      <c r="V864" s="125">
        <f>+Tabla1[[#This Row],[STOCK  FEBRERO 2021]]-Tabla1[[#This Row],[REQUISICIONES MARZO 2021]]+Tabla1[[#This Row],[ENTRADAS MARZO 2021]]</f>
        <v>310</v>
      </c>
      <c r="W864" s="114">
        <f>+Tabla1[[#This Row],[STOCK MARZO 2021]]-Tabla1[[#This Row],[REQUISICIONES ABRIL 2021]]+Tabla1[[#This Row],[ENTRADAS ABRIL 2021]]</f>
        <v>310</v>
      </c>
      <c r="X864" s="114">
        <f>+Tabla1[[#This Row],[STOCK ABRIL 2021]]-Tabla1[[#This Row],[REQUISICIONES MAYO 2021]]+Tabla1[[#This Row],[ENTRADAS MAYO 2021]]</f>
        <v>300</v>
      </c>
      <c r="Y864" s="114">
        <f>+Tabla1[[#This Row],[STOCK MAYO 2021]]-Tabla1[[#This Row],[REQUISICIONES JUNIO 2021]]+Tabla1[[#This Row],[ENTRADAS JUNIO 2021]]</f>
        <v>270</v>
      </c>
      <c r="Z864" s="30" t="s">
        <v>12</v>
      </c>
      <c r="AA864" s="34">
        <v>0</v>
      </c>
      <c r="AB864" s="34">
        <v>0</v>
      </c>
      <c r="AC864" s="93">
        <f>Tabla1[[#This Row],[STOCK JUNIO ]]*Tabla1[[#This Row],[COSTO UNITARIO SIN ITBIS]]</f>
        <v>0</v>
      </c>
    </row>
    <row r="865" spans="1:29" s="8" customFormat="1" x14ac:dyDescent="0.25">
      <c r="A865" s="323">
        <v>29</v>
      </c>
      <c r="B865" s="31"/>
      <c r="C865" s="13" t="s">
        <v>11</v>
      </c>
      <c r="D865" s="31"/>
      <c r="E865" s="137"/>
      <c r="F865" s="28"/>
      <c r="G865" s="32" t="s">
        <v>697</v>
      </c>
      <c r="H865" s="63"/>
      <c r="I865" s="63"/>
      <c r="J865" s="63"/>
      <c r="K865" s="63"/>
      <c r="L865" s="63"/>
      <c r="M865" s="63"/>
      <c r="N865" s="63"/>
      <c r="O865" s="125"/>
      <c r="P865" s="63"/>
      <c r="Q865" s="63"/>
      <c r="R865" s="63"/>
      <c r="S865" s="63"/>
      <c r="T865" s="63"/>
      <c r="U865" s="63">
        <f>+Tabla1[[#This Row],[STOCK    FISICO ENERO 2021]]-Tabla1[[#This Row],[REQUISICIONES FEBRERO 2021]]</f>
        <v>0</v>
      </c>
      <c r="V865" s="63">
        <f>+Tabla1[[#This Row],[STOCK  FEBRERO 2021]]-Tabla1[[#This Row],[REQUISICIONES MARZO 2021]]+Tabla1[[#This Row],[ENTRADAS MARZO 2021]]</f>
        <v>0</v>
      </c>
      <c r="W865" s="63">
        <f>+Tabla1[[#This Row],[STOCK MARZO 2021]]-Tabla1[[#This Row],[REQUISICIONES ABRIL 2021]]+Tabla1[[#This Row],[ENTRADAS ABRIL 2021]]</f>
        <v>0</v>
      </c>
      <c r="X865" s="63">
        <f>+Tabla1[[#This Row],[STOCK ABRIL 2021]]-Tabla1[[#This Row],[REQUISICIONES MAYO 2021]]+Tabla1[[#This Row],[ENTRADAS MAYO 2021]]</f>
        <v>0</v>
      </c>
      <c r="Y865" s="63">
        <f>+Tabla1[[#This Row],[STOCK MAYO 2021]]-Tabla1[[#This Row],[REQUISICIONES JUNIO 2021]]+Tabla1[[#This Row],[ENTRADAS JUNIO 2021]]</f>
        <v>0</v>
      </c>
      <c r="Z865" s="30" t="s">
        <v>12</v>
      </c>
      <c r="AA865" s="34"/>
      <c r="AB865" s="35"/>
      <c r="AC865" s="93">
        <f>Tabla1[[#This Row],[STOCK JUNIO ]]*Tabla1[[#This Row],[COSTO UNITARIO SIN ITBIS]]</f>
        <v>0</v>
      </c>
    </row>
    <row r="866" spans="1:29" s="8" customFormat="1" x14ac:dyDescent="0.25">
      <c r="A866" s="323">
        <v>30</v>
      </c>
      <c r="B866" s="110">
        <v>44253</v>
      </c>
      <c r="C866" s="13" t="s">
        <v>11</v>
      </c>
      <c r="D866" s="110">
        <v>44244</v>
      </c>
      <c r="E866" s="142"/>
      <c r="F866" s="111"/>
      <c r="G866" s="32" t="s">
        <v>834</v>
      </c>
      <c r="H866" s="113"/>
      <c r="I866" s="113"/>
      <c r="J866" s="113"/>
      <c r="K866" s="113">
        <v>346</v>
      </c>
      <c r="L866" s="113"/>
      <c r="M866" s="113"/>
      <c r="N866" s="113"/>
      <c r="O866" s="114"/>
      <c r="P866" s="113"/>
      <c r="Q866" s="113"/>
      <c r="R866" s="113"/>
      <c r="S866" s="113"/>
      <c r="T866" s="113"/>
      <c r="U866" s="114">
        <f>+Tabla1[[#This Row],[STOCK    FISICO ENERO 2021]]-Tabla1[[#This Row],[REQUISICIONES FEBRERO 2021]]+346</f>
        <v>346</v>
      </c>
      <c r="V866" s="114">
        <f>+Tabla1[[#This Row],[STOCK  FEBRERO 2021]]-Tabla1[[#This Row],[REQUISICIONES MARZO 2021]]+Tabla1[[#This Row],[ENTRADAS MARZO 2021]]</f>
        <v>346</v>
      </c>
      <c r="W866" s="114">
        <f>+Tabla1[[#This Row],[STOCK MARZO 2021]]-Tabla1[[#This Row],[REQUISICIONES ABRIL 2021]]+Tabla1[[#This Row],[ENTRADAS ABRIL 2021]]</f>
        <v>346</v>
      </c>
      <c r="X866" s="114">
        <f>+Tabla1[[#This Row],[STOCK ABRIL 2021]]-Tabla1[[#This Row],[REQUISICIONES MAYO 2021]]+Tabla1[[#This Row],[ENTRADAS MAYO 2021]]</f>
        <v>346</v>
      </c>
      <c r="Y866" s="114">
        <f>+Tabla1[[#This Row],[STOCK MAYO 2021]]-Tabla1[[#This Row],[REQUISICIONES JUNIO 2021]]+Tabla1[[#This Row],[ENTRADAS JUNIO 2021]]</f>
        <v>346</v>
      </c>
      <c r="Z866" s="30" t="s">
        <v>12</v>
      </c>
      <c r="AA866" s="116"/>
      <c r="AB866" s="115"/>
      <c r="AC866" s="93">
        <f>Tabla1[[#This Row],[STOCK JUNIO ]]*Tabla1[[#This Row],[COSTO UNITARIO SIN ITBIS]]</f>
        <v>0</v>
      </c>
    </row>
    <row r="867" spans="1:29" s="8" customFormat="1" ht="24.75" x14ac:dyDescent="0.25">
      <c r="A867" s="323">
        <v>31</v>
      </c>
      <c r="B867" s="117">
        <v>44343</v>
      </c>
      <c r="C867" s="13" t="s">
        <v>11</v>
      </c>
      <c r="D867" s="117">
        <v>44341</v>
      </c>
      <c r="E867" s="219" t="s">
        <v>867</v>
      </c>
      <c r="F867" s="197"/>
      <c r="G867" s="32" t="s">
        <v>875</v>
      </c>
      <c r="H867" s="120"/>
      <c r="I867" s="120"/>
      <c r="J867" s="120">
        <f>+'INVENTARIO ABRIL-JUNIO 2021'!$H867-'INVENTARIO ABRIL-JUNIO 2021'!$I867</f>
        <v>0</v>
      </c>
      <c r="K867" s="120"/>
      <c r="L867" s="120"/>
      <c r="M867" s="120"/>
      <c r="N867" s="126">
        <f>1273+115+377+38+160+1+14</f>
        <v>1978</v>
      </c>
      <c r="O867" s="121"/>
      <c r="P867" s="120"/>
      <c r="Q867" s="120"/>
      <c r="R867" s="120"/>
      <c r="S867" s="120">
        <f>1273+537+144+7+14</f>
        <v>1975</v>
      </c>
      <c r="T867" s="120"/>
      <c r="U867" s="214">
        <f>+Tabla1[[#This Row],[STOCK    FISICO ENERO 2021]]-Tabla1[[#This Row],[REQUISICIONES FEBRERO 2021]]</f>
        <v>0</v>
      </c>
      <c r="V867" s="214">
        <f>+Tabla1[[#This Row],[STOCK  FEBRERO 2021]]-Tabla1[[#This Row],[REQUISICIONES MARZO 2021]]+Tabla1[[#This Row],[ENTRADAS MARZO 2021]]</f>
        <v>0</v>
      </c>
      <c r="W867" s="313">
        <f>+Tabla1[[#This Row],[STOCK MARZO 2021]]-Tabla1[[#This Row],[REQUISICIONES ABRIL 2021]]+Tabla1[[#This Row],[ENTRADAS ABRIL 2021]]</f>
        <v>0</v>
      </c>
      <c r="X867" s="313">
        <f>+Tabla1[[#This Row],[STOCK ABRIL 2021]]-Tabla1[[#This Row],[REQUISICIONES MAYO 2021]]+Tabla1[[#This Row],[ENTRADAS MAYO 2021]]</f>
        <v>3</v>
      </c>
      <c r="Y867" s="313">
        <f>+Tabla1[[#This Row],[STOCK MAYO 2021]]-Tabla1[[#This Row],[REQUISICIONES JUNIO 2021]]+Tabla1[[#This Row],[ENTRADAS JUNIO 2021]]</f>
        <v>3</v>
      </c>
      <c r="Z867" s="314" t="s">
        <v>866</v>
      </c>
      <c r="AA867" s="315"/>
      <c r="AB867" s="123"/>
      <c r="AC867" s="93">
        <f>Tabla1[[#This Row],[STOCK JUNIO ]]*Tabla1[[#This Row],[COSTO UNITARIO SIN ITBIS]]</f>
        <v>0</v>
      </c>
    </row>
    <row r="868" spans="1:29" s="8" customFormat="1" x14ac:dyDescent="0.25">
      <c r="A868" s="323">
        <v>32</v>
      </c>
      <c r="B868" s="310">
        <v>44363</v>
      </c>
      <c r="C868" s="13" t="s">
        <v>11</v>
      </c>
      <c r="D868" s="243">
        <v>44349</v>
      </c>
      <c r="E868" s="219" t="s">
        <v>867</v>
      </c>
      <c r="F868" s="244"/>
      <c r="G868" s="312" t="s">
        <v>906</v>
      </c>
      <c r="H868" s="245"/>
      <c r="I868" s="245"/>
      <c r="J868" s="245">
        <f>+'INVENTARIO ABRIL-JUNIO 2021'!$H868-'INVENTARIO ABRIL-JUNIO 2021'!$I868</f>
        <v>0</v>
      </c>
      <c r="K868" s="245"/>
      <c r="L868" s="245"/>
      <c r="M868" s="245"/>
      <c r="N868" s="246"/>
      <c r="O868" s="247">
        <v>473</v>
      </c>
      <c r="P868" s="245"/>
      <c r="Q868" s="245"/>
      <c r="R868" s="245"/>
      <c r="S868" s="245"/>
      <c r="T868" s="245">
        <v>473</v>
      </c>
      <c r="U868" s="247">
        <f>+Tabla1[[#This Row],[STOCK    FISICO ENERO 2021]]-Tabla1[[#This Row],[REQUISICIONES FEBRERO 2021]]</f>
        <v>0</v>
      </c>
      <c r="V868" s="247">
        <f>+Tabla1[[#This Row],[STOCK  FEBRERO 2021]]-Tabla1[[#This Row],[REQUISICIONES MARZO 2021]]+Tabla1[[#This Row],[ENTRADAS MARZO 2021]]</f>
        <v>0</v>
      </c>
      <c r="W868" s="114">
        <f>+Tabla1[[#This Row],[STOCK MARZO 2021]]-Tabla1[[#This Row],[REQUISICIONES ABRIL 2021]]+Tabla1[[#This Row],[ENTRADAS ABRIL 2021]]</f>
        <v>0</v>
      </c>
      <c r="X868" s="114">
        <f>+Tabla1[[#This Row],[STOCK ABRIL 2021]]-Tabla1[[#This Row],[REQUISICIONES MAYO 2021]]+Tabla1[[#This Row],[ENTRADAS MAYO 2021]]</f>
        <v>0</v>
      </c>
      <c r="Y868" s="313">
        <f>+Tabla1[[#This Row],[STOCK MAYO 2021]]-Tabla1[[#This Row],[REQUISICIONES JUNIO 2021]]+Tabla1[[#This Row],[ENTRADAS JUNIO 2021]]</f>
        <v>0</v>
      </c>
      <c r="Z868" s="30" t="s">
        <v>12</v>
      </c>
      <c r="AA868" s="248">
        <v>0</v>
      </c>
      <c r="AB868" s="252">
        <v>0</v>
      </c>
      <c r="AC868" s="253">
        <f>J868*AA868</f>
        <v>0</v>
      </c>
    </row>
    <row r="869" spans="1:29" s="8" customFormat="1" ht="24.75" x14ac:dyDescent="0.25">
      <c r="A869" s="323">
        <v>33</v>
      </c>
      <c r="B869" s="310">
        <v>44363</v>
      </c>
      <c r="C869" s="13" t="s">
        <v>11</v>
      </c>
      <c r="D869" s="243"/>
      <c r="E869" s="219" t="s">
        <v>867</v>
      </c>
      <c r="F869" s="244"/>
      <c r="G869" s="32" t="s">
        <v>875</v>
      </c>
      <c r="H869" s="245"/>
      <c r="I869" s="245"/>
      <c r="J869" s="245">
        <f>+'INVENTARIO ABRIL-JUNIO 2021'!$H869-'INVENTARIO ABRIL-JUNIO 2021'!$I869</f>
        <v>0</v>
      </c>
      <c r="K869" s="245"/>
      <c r="L869" s="245"/>
      <c r="M869" s="245"/>
      <c r="N869" s="246"/>
      <c r="O869" s="247">
        <f>80+3</f>
        <v>83</v>
      </c>
      <c r="P869" s="245"/>
      <c r="Q869" s="245"/>
      <c r="R869" s="245"/>
      <c r="S869" s="245"/>
      <c r="T869" s="245">
        <f>80+3</f>
        <v>83</v>
      </c>
      <c r="U869" s="284">
        <f>+Tabla1[[#This Row],[STOCK    FISICO ENERO 2021]]-Tabla1[[#This Row],[REQUISICIONES FEBRERO 2021]]</f>
        <v>0</v>
      </c>
      <c r="V869" s="284">
        <f>+Tabla1[[#This Row],[STOCK  FEBRERO 2021]]-Tabla1[[#This Row],[REQUISICIONES MARZO 2021]]+Tabla1[[#This Row],[ENTRADAS MARZO 2021]]</f>
        <v>0</v>
      </c>
      <c r="W869" s="313">
        <f>+Tabla1[[#This Row],[STOCK MARZO 2021]]-Tabla1[[#This Row],[REQUISICIONES ABRIL 2021]]+Tabla1[[#This Row],[ENTRADAS ABRIL 2021]]</f>
        <v>0</v>
      </c>
      <c r="X869" s="313">
        <f>+Tabla1[[#This Row],[STOCK ABRIL 2021]]-Tabla1[[#This Row],[REQUISICIONES MAYO 2021]]+Tabla1[[#This Row],[ENTRADAS MAYO 2021]]</f>
        <v>0</v>
      </c>
      <c r="Y869" s="313">
        <f>+Tabla1[[#This Row],[STOCK MAYO 2021]]-Tabla1[[#This Row],[REQUISICIONES JUNIO 2021]]+Tabla1[[#This Row],[ENTRADAS JUNIO 2021]]</f>
        <v>0</v>
      </c>
      <c r="Z869" s="314" t="s">
        <v>866</v>
      </c>
      <c r="AA869" s="248">
        <v>0</v>
      </c>
      <c r="AB869" s="252">
        <v>0</v>
      </c>
      <c r="AC869" s="253">
        <f>J869*AA869</f>
        <v>0</v>
      </c>
    </row>
    <row r="870" spans="1:29" s="8" customFormat="1" x14ac:dyDescent="0.25">
      <c r="A870" s="323">
        <v>34</v>
      </c>
      <c r="B870" s="117">
        <v>44343</v>
      </c>
      <c r="C870" s="13" t="s">
        <v>11</v>
      </c>
      <c r="D870" s="117">
        <v>44341</v>
      </c>
      <c r="E870" s="219" t="s">
        <v>867</v>
      </c>
      <c r="F870" s="197"/>
      <c r="G870" s="32" t="s">
        <v>876</v>
      </c>
      <c r="H870" s="120"/>
      <c r="I870" s="120"/>
      <c r="J870" s="120">
        <f>+'INVENTARIO ABRIL-JUNIO 2021'!$H870-'INVENTARIO ABRIL-JUNIO 2021'!$I870</f>
        <v>0</v>
      </c>
      <c r="K870" s="120"/>
      <c r="L870" s="120"/>
      <c r="M870" s="120"/>
      <c r="N870" s="126">
        <f>72+859</f>
        <v>931</v>
      </c>
      <c r="O870" s="121"/>
      <c r="P870" s="120"/>
      <c r="Q870" s="120"/>
      <c r="R870" s="120"/>
      <c r="S870" s="120">
        <f>72+859</f>
        <v>931</v>
      </c>
      <c r="T870" s="120"/>
      <c r="U870" s="121">
        <f>+Tabla1[[#This Row],[STOCK    FISICO ENERO 2021]]-Tabla1[[#This Row],[REQUISICIONES FEBRERO 2021]]</f>
        <v>0</v>
      </c>
      <c r="V870" s="121">
        <f>+Tabla1[[#This Row],[STOCK  FEBRERO 2021]]-Tabla1[[#This Row],[REQUISICIONES MARZO 2021]]+Tabla1[[#This Row],[ENTRADAS MARZO 2021]]</f>
        <v>0</v>
      </c>
      <c r="W870" s="114">
        <f>+Tabla1[[#This Row],[STOCK MARZO 2021]]-Tabla1[[#This Row],[REQUISICIONES ABRIL 2021]]+Tabla1[[#This Row],[ENTRADAS ABRIL 2021]]</f>
        <v>0</v>
      </c>
      <c r="X870" s="114">
        <f>+Tabla1[[#This Row],[STOCK ABRIL 2021]]-Tabla1[[#This Row],[REQUISICIONES MAYO 2021]]+Tabla1[[#This Row],[ENTRADAS MAYO 2021]]</f>
        <v>0</v>
      </c>
      <c r="Y870" s="114">
        <f>+Tabla1[[#This Row],[STOCK MAYO 2021]]-Tabla1[[#This Row],[REQUISICIONES JUNIO 2021]]+Tabla1[[#This Row],[ENTRADAS JUNIO 2021]]</f>
        <v>0</v>
      </c>
      <c r="Z870" s="30" t="s">
        <v>890</v>
      </c>
      <c r="AA870" s="122">
        <v>0</v>
      </c>
      <c r="AB870" s="123">
        <v>0</v>
      </c>
      <c r="AC870" s="93">
        <f>Tabla1[[#This Row],[STOCK JUNIO ]]*Tabla1[[#This Row],[COSTO UNITARIO SIN ITBIS]]</f>
        <v>0</v>
      </c>
    </row>
    <row r="871" spans="1:29" s="8" customFormat="1" x14ac:dyDescent="0.25">
      <c r="A871" s="323">
        <v>35</v>
      </c>
      <c r="B871" s="310">
        <v>44363</v>
      </c>
      <c r="C871" s="311"/>
      <c r="D871" s="243">
        <v>44318</v>
      </c>
      <c r="E871" s="219" t="s">
        <v>867</v>
      </c>
      <c r="F871" s="244"/>
      <c r="G871" s="32" t="s">
        <v>876</v>
      </c>
      <c r="H871" s="245"/>
      <c r="I871" s="245"/>
      <c r="J871" s="245">
        <f>+'INVENTARIO ABRIL-JUNIO 2021'!$H871-'INVENTARIO ABRIL-JUNIO 2021'!$I871</f>
        <v>0</v>
      </c>
      <c r="K871" s="245"/>
      <c r="L871" s="245"/>
      <c r="M871" s="245"/>
      <c r="N871" s="246"/>
      <c r="O871" s="247">
        <v>517</v>
      </c>
      <c r="P871" s="245"/>
      <c r="Q871" s="245"/>
      <c r="R871" s="245"/>
      <c r="S871" s="245"/>
      <c r="T871" s="245">
        <v>517</v>
      </c>
      <c r="U871" s="247">
        <f>+Tabla1[[#This Row],[STOCK    FISICO ENERO 2021]]-Tabla1[[#This Row],[REQUISICIONES FEBRERO 2021]]</f>
        <v>0</v>
      </c>
      <c r="V871" s="247">
        <f>+Tabla1[[#This Row],[STOCK  FEBRERO 2021]]-Tabla1[[#This Row],[REQUISICIONES MARZO 2021]]+Tabla1[[#This Row],[ENTRADAS MARZO 2021]]</f>
        <v>0</v>
      </c>
      <c r="W871" s="114">
        <f>+Tabla1[[#This Row],[STOCK MARZO 2021]]-Tabla1[[#This Row],[REQUISICIONES ABRIL 2021]]+Tabla1[[#This Row],[ENTRADAS ABRIL 2021]]</f>
        <v>0</v>
      </c>
      <c r="X871" s="114">
        <f>+Tabla1[[#This Row],[STOCK ABRIL 2021]]-Tabla1[[#This Row],[REQUISICIONES MAYO 2021]]+Tabla1[[#This Row],[ENTRADAS MAYO 2021]]</f>
        <v>0</v>
      </c>
      <c r="Y871" s="114">
        <f>+Tabla1[[#This Row],[STOCK MAYO 2021]]-Tabla1[[#This Row],[REQUISICIONES JUNIO 2021]]+Tabla1[[#This Row],[ENTRADAS JUNIO 2021]]</f>
        <v>0</v>
      </c>
      <c r="Z871" s="30" t="s">
        <v>890</v>
      </c>
      <c r="AA871" s="248">
        <v>0</v>
      </c>
      <c r="AB871" s="252">
        <v>0</v>
      </c>
      <c r="AC871" s="253">
        <f>J871*AA871</f>
        <v>0</v>
      </c>
    </row>
    <row r="872" spans="1:29" s="8" customFormat="1" x14ac:dyDescent="0.25">
      <c r="A872" s="323">
        <v>36</v>
      </c>
      <c r="B872" s="117">
        <v>44343</v>
      </c>
      <c r="C872" s="13" t="s">
        <v>11</v>
      </c>
      <c r="D872" s="117">
        <v>44341</v>
      </c>
      <c r="E872" s="219" t="s">
        <v>867</v>
      </c>
      <c r="F872" s="197"/>
      <c r="G872" s="32" t="s">
        <v>834</v>
      </c>
      <c r="H872" s="120"/>
      <c r="I872" s="120"/>
      <c r="J872" s="120">
        <f>+'INVENTARIO ABRIL-JUNIO 2021'!$H872-'INVENTARIO ABRIL-JUNIO 2021'!$I872</f>
        <v>0</v>
      </c>
      <c r="K872" s="120"/>
      <c r="L872" s="120"/>
      <c r="M872" s="120"/>
      <c r="N872" s="126">
        <f>34+43+29</f>
        <v>106</v>
      </c>
      <c r="O872" s="121"/>
      <c r="P872" s="120"/>
      <c r="Q872" s="120"/>
      <c r="R872" s="120"/>
      <c r="S872" s="120">
        <f>34+43+29</f>
        <v>106</v>
      </c>
      <c r="T872" s="120"/>
      <c r="U872" s="121">
        <f>+Tabla1[[#This Row],[STOCK    FISICO ENERO 2021]]-Tabla1[[#This Row],[REQUISICIONES FEBRERO 2021]]</f>
        <v>0</v>
      </c>
      <c r="V872" s="121">
        <f>+Tabla1[[#This Row],[STOCK  FEBRERO 2021]]-Tabla1[[#This Row],[REQUISICIONES MARZO 2021]]+Tabla1[[#This Row],[ENTRADAS MARZO 2021]]</f>
        <v>0</v>
      </c>
      <c r="W872" s="114">
        <f>+Tabla1[[#This Row],[STOCK MARZO 2021]]-Tabla1[[#This Row],[REQUISICIONES ABRIL 2021]]+Tabla1[[#This Row],[ENTRADAS ABRIL 2021]]</f>
        <v>0</v>
      </c>
      <c r="X872" s="114">
        <f>+Tabla1[[#This Row],[STOCK ABRIL 2021]]-Tabla1[[#This Row],[REQUISICIONES MAYO 2021]]+Tabla1[[#This Row],[ENTRADAS MAYO 2021]]</f>
        <v>0</v>
      </c>
      <c r="Y872" s="114">
        <f>+Tabla1[[#This Row],[STOCK MAYO 2021]]-Tabla1[[#This Row],[REQUISICIONES JUNIO 2021]]+Tabla1[[#This Row],[ENTRADAS JUNIO 2021]]</f>
        <v>0</v>
      </c>
      <c r="Z872" s="30" t="s">
        <v>12</v>
      </c>
      <c r="AA872" s="248">
        <v>0</v>
      </c>
      <c r="AB872" s="123"/>
      <c r="AC872" s="93">
        <f>Tabla1[[#This Row],[STOCK JUNIO ]]*Tabla1[[#This Row],[COSTO UNITARIO SIN ITBIS]]</f>
        <v>0</v>
      </c>
    </row>
    <row r="873" spans="1:29" s="8" customFormat="1" x14ac:dyDescent="0.25">
      <c r="A873" s="323">
        <v>37</v>
      </c>
      <c r="B873" s="31">
        <v>43522</v>
      </c>
      <c r="C873" s="13" t="s">
        <v>11</v>
      </c>
      <c r="D873" s="31">
        <v>43522</v>
      </c>
      <c r="E873" s="158"/>
      <c r="F873" s="69">
        <v>1458</v>
      </c>
      <c r="G873" s="32" t="s">
        <v>616</v>
      </c>
      <c r="H873" s="63"/>
      <c r="I873" s="63"/>
      <c r="J873" s="63">
        <f>+'INVENTARIO ABRIL-JUNIO 2021'!$H873-'INVENTARIO ABRIL-JUNIO 2021'!$I873</f>
        <v>0</v>
      </c>
      <c r="K873" s="63"/>
      <c r="L873" s="63"/>
      <c r="M873" s="63"/>
      <c r="N873" s="63"/>
      <c r="O873" s="125"/>
      <c r="P873" s="63"/>
      <c r="Q873" s="63"/>
      <c r="R873" s="63"/>
      <c r="S873" s="63"/>
      <c r="T873" s="63"/>
      <c r="U873" s="63">
        <f>+Tabla1[[#This Row],[STOCK    FISICO ENERO 2021]]-Tabla1[[#This Row],[REQUISICIONES FEBRERO 2021]]</f>
        <v>0</v>
      </c>
      <c r="V873" s="63">
        <f>+Tabla1[[#This Row],[STOCK  FEBRERO 2021]]-Tabla1[[#This Row],[REQUISICIONES MARZO 2021]]+Tabla1[[#This Row],[ENTRADAS MARZO 2021]]</f>
        <v>0</v>
      </c>
      <c r="W873" s="63">
        <f>+Tabla1[[#This Row],[STOCK MARZO 2021]]-Tabla1[[#This Row],[REQUISICIONES ABRIL 2021]]+Tabla1[[#This Row],[ENTRADAS ABRIL 2021]]</f>
        <v>0</v>
      </c>
      <c r="X873" s="63">
        <f>+Tabla1[[#This Row],[STOCK ABRIL 2021]]-Tabla1[[#This Row],[REQUISICIONES MAYO 2021]]+Tabla1[[#This Row],[ENTRADAS MAYO 2021]]</f>
        <v>0</v>
      </c>
      <c r="Y873" s="63">
        <f>+Tabla1[[#This Row],[STOCK MAYO 2021]]-Tabla1[[#This Row],[REQUISICIONES JUNIO 2021]]+Tabla1[[#This Row],[ENTRADAS JUNIO 2021]]</f>
        <v>0</v>
      </c>
      <c r="Z873" s="30" t="s">
        <v>12</v>
      </c>
      <c r="AA873" s="34">
        <v>218.3</v>
      </c>
      <c r="AB873" s="35">
        <f>+AA873*0.18+AA873</f>
        <v>257.59399999999999</v>
      </c>
      <c r="AC873" s="93">
        <f>Tabla1[[#This Row],[STOCK JUNIO ]]*Tabla1[[#This Row],[COSTO UNITARIO SIN ITBIS]]</f>
        <v>0</v>
      </c>
    </row>
    <row r="874" spans="1:29" s="8" customFormat="1" x14ac:dyDescent="0.25">
      <c r="A874" s="323">
        <v>38</v>
      </c>
      <c r="B874" s="31">
        <v>44290</v>
      </c>
      <c r="C874" s="13" t="s">
        <v>11</v>
      </c>
      <c r="D874" s="31">
        <v>44290</v>
      </c>
      <c r="E874" s="158"/>
      <c r="F874" s="69"/>
      <c r="G874" s="32" t="s">
        <v>823</v>
      </c>
      <c r="H874" s="63"/>
      <c r="I874" s="63"/>
      <c r="J874" s="63">
        <f>+'INVENTARIO ABRIL-JUNIO 2021'!$H874-'INVENTARIO ABRIL-JUNIO 2021'!$I874+42</f>
        <v>42</v>
      </c>
      <c r="K874" s="63"/>
      <c r="L874" s="63"/>
      <c r="M874" s="63"/>
      <c r="N874" s="63"/>
      <c r="O874" s="125"/>
      <c r="P874" s="63"/>
      <c r="Q874" s="63"/>
      <c r="R874" s="63">
        <f>1+10+10</f>
        <v>21</v>
      </c>
      <c r="S874" s="63"/>
      <c r="T874" s="63">
        <v>1</v>
      </c>
      <c r="U874" s="125">
        <f>+Tabla1[[#This Row],[STOCK    FISICO ENERO 2021]]-Tabla1[[#This Row],[REQUISICIONES FEBRERO 2021]]</f>
        <v>42</v>
      </c>
      <c r="V874" s="125">
        <f>+Tabla1[[#This Row],[STOCK  FEBRERO 2021]]-Tabla1[[#This Row],[REQUISICIONES MARZO 2021]]+Tabla1[[#This Row],[ENTRADAS MARZO 2021]]</f>
        <v>42</v>
      </c>
      <c r="W874" s="125">
        <f>+Tabla1[[#This Row],[STOCK MARZO 2021]]-Tabla1[[#This Row],[REQUISICIONES ABRIL 2021]]+Tabla1[[#This Row],[ENTRADAS ABRIL 2021]]</f>
        <v>21</v>
      </c>
      <c r="X874" s="125">
        <f>+Tabla1[[#This Row],[STOCK ABRIL 2021]]-Tabla1[[#This Row],[REQUISICIONES MAYO 2021]]+Tabla1[[#This Row],[ENTRADAS MAYO 2021]]</f>
        <v>21</v>
      </c>
      <c r="Y874" s="125">
        <f>+Tabla1[[#This Row],[STOCK MAYO 2021]]-Tabla1[[#This Row],[REQUISICIONES JUNIO 2021]]+Tabla1[[#This Row],[ENTRADAS JUNIO 2021]]</f>
        <v>20</v>
      </c>
      <c r="Z874" s="30" t="s">
        <v>12</v>
      </c>
      <c r="AA874" s="34">
        <v>0</v>
      </c>
      <c r="AB874" s="35">
        <v>0</v>
      </c>
      <c r="AC874" s="93">
        <f>Tabla1[[#This Row],[STOCK JUNIO ]]*Tabla1[[#This Row],[COSTO UNITARIO SIN ITBIS]]</f>
        <v>0</v>
      </c>
    </row>
    <row r="875" spans="1:29" s="8" customFormat="1" x14ac:dyDescent="0.25">
      <c r="A875" s="323">
        <v>39</v>
      </c>
      <c r="B875" s="31">
        <v>44316</v>
      </c>
      <c r="C875" s="13" t="s">
        <v>11</v>
      </c>
      <c r="D875" s="31">
        <v>44314</v>
      </c>
      <c r="E875" s="158" t="s">
        <v>830</v>
      </c>
      <c r="F875" s="69"/>
      <c r="G875" s="32" t="s">
        <v>835</v>
      </c>
      <c r="H875" s="63"/>
      <c r="I875" s="63"/>
      <c r="J875" s="120">
        <f>+'INVENTARIO ABRIL-JUNIO 2021'!$H875-'INVENTARIO ABRIL-JUNIO 2021'!$I875</f>
        <v>0</v>
      </c>
      <c r="K875" s="63"/>
      <c r="L875" s="63"/>
      <c r="M875" s="63">
        <v>867</v>
      </c>
      <c r="N875" s="63"/>
      <c r="O875" s="125"/>
      <c r="P875" s="63"/>
      <c r="Q875" s="63"/>
      <c r="R875" s="63">
        <v>867</v>
      </c>
      <c r="S875" s="63"/>
      <c r="T875" s="63"/>
      <c r="U875" s="125">
        <f>+Tabla1[[#This Row],[STOCK    FISICO ENERO 2021]]-Tabla1[[#This Row],[REQUISICIONES FEBRERO 2021]]</f>
        <v>0</v>
      </c>
      <c r="V875" s="125">
        <f>+Tabla1[[#This Row],[STOCK  FEBRERO 2021]]-Tabla1[[#This Row],[REQUISICIONES MARZO 2021]]+Tabla1[[#This Row],[ENTRADAS MARZO 2021]]</f>
        <v>0</v>
      </c>
      <c r="W875" s="125">
        <f>+Tabla1[[#This Row],[STOCK MARZO 2021]]-Tabla1[[#This Row],[REQUISICIONES ABRIL 2021]]+Tabla1[[#This Row],[ENTRADAS ABRIL 2021]]</f>
        <v>0</v>
      </c>
      <c r="X875" s="125">
        <f>+Tabla1[[#This Row],[STOCK ABRIL 2021]]-Tabla1[[#This Row],[REQUISICIONES MAYO 2021]]+Tabla1[[#This Row],[ENTRADAS MAYO 2021]]</f>
        <v>0</v>
      </c>
      <c r="Y875" s="125">
        <f>+Tabla1[[#This Row],[STOCK MAYO 2021]]-Tabla1[[#This Row],[REQUISICIONES JUNIO 2021]]+Tabla1[[#This Row],[ENTRADAS JUNIO 2021]]</f>
        <v>0</v>
      </c>
      <c r="Z875" s="30" t="s">
        <v>12</v>
      </c>
      <c r="AA875" s="34">
        <v>0</v>
      </c>
      <c r="AB875" s="35">
        <v>0</v>
      </c>
      <c r="AC875" s="93">
        <f>Tabla1[[#This Row],[STOCK JUNIO ]]*Tabla1[[#This Row],[COSTO UNITARIO SIN ITBIS]]</f>
        <v>0</v>
      </c>
    </row>
    <row r="876" spans="1:29" s="8" customFormat="1" x14ac:dyDescent="0.25">
      <c r="A876" s="323">
        <v>40</v>
      </c>
      <c r="B876" s="310">
        <v>44363</v>
      </c>
      <c r="C876" s="311"/>
      <c r="D876" s="243">
        <v>44349</v>
      </c>
      <c r="E876" s="219" t="s">
        <v>867</v>
      </c>
      <c r="F876" s="244"/>
      <c r="G876" s="32" t="s">
        <v>835</v>
      </c>
      <c r="H876" s="245"/>
      <c r="I876" s="245"/>
      <c r="J876" s="245">
        <f>+'INVENTARIO ABRIL-JUNIO 2021'!$H876-'INVENTARIO ABRIL-JUNIO 2021'!$I876</f>
        <v>0</v>
      </c>
      <c r="K876" s="245"/>
      <c r="L876" s="245"/>
      <c r="M876" s="245"/>
      <c r="N876" s="246"/>
      <c r="O876" s="247">
        <v>168</v>
      </c>
      <c r="P876" s="245"/>
      <c r="Q876" s="245"/>
      <c r="R876" s="245"/>
      <c r="S876" s="245"/>
      <c r="T876" s="245">
        <v>168</v>
      </c>
      <c r="U876" s="247">
        <f>+Tabla1[[#This Row],[STOCK    FISICO ENERO 2021]]-Tabla1[[#This Row],[REQUISICIONES FEBRERO 2021]]</f>
        <v>0</v>
      </c>
      <c r="V876" s="247">
        <f>+Tabla1[[#This Row],[STOCK  FEBRERO 2021]]-Tabla1[[#This Row],[REQUISICIONES MARZO 2021]]+Tabla1[[#This Row],[ENTRADAS MARZO 2021]]</f>
        <v>0</v>
      </c>
      <c r="W876" s="125">
        <f>+Tabla1[[#This Row],[STOCK MARZO 2021]]-Tabla1[[#This Row],[REQUISICIONES ABRIL 2021]]+Tabla1[[#This Row],[ENTRADAS ABRIL 2021]]</f>
        <v>0</v>
      </c>
      <c r="X876" s="125">
        <f>+Tabla1[[#This Row],[STOCK ABRIL 2021]]-Tabla1[[#This Row],[REQUISICIONES MAYO 2021]]+Tabla1[[#This Row],[ENTRADAS MAYO 2021]]</f>
        <v>0</v>
      </c>
      <c r="Y876" s="125">
        <f>+Tabla1[[#This Row],[STOCK MAYO 2021]]-Tabla1[[#This Row],[REQUISICIONES JUNIO 2021]]+Tabla1[[#This Row],[ENTRADAS JUNIO 2021]]</f>
        <v>0</v>
      </c>
      <c r="Z876" s="30" t="s">
        <v>12</v>
      </c>
      <c r="AA876" s="34">
        <v>0</v>
      </c>
      <c r="AB876" s="35">
        <v>0</v>
      </c>
      <c r="AC876" s="253">
        <f>J876*AA876</f>
        <v>0</v>
      </c>
    </row>
    <row r="877" spans="1:29" s="8" customFormat="1" x14ac:dyDescent="0.25">
      <c r="A877" s="323">
        <v>41</v>
      </c>
      <c r="B877" s="157">
        <v>44316</v>
      </c>
      <c r="C877" s="203" t="s">
        <v>11</v>
      </c>
      <c r="D877" s="157">
        <v>44314</v>
      </c>
      <c r="E877" s="158" t="s">
        <v>830</v>
      </c>
      <c r="F877" s="129"/>
      <c r="G877" s="159" t="s">
        <v>836</v>
      </c>
      <c r="H877" s="202"/>
      <c r="I877" s="63"/>
      <c r="J877" s="204">
        <f>+'INVENTARIO ABRIL-JUNIO 2021'!$H877-'INVENTARIO ABRIL-JUNIO 2021'!$I877</f>
        <v>0</v>
      </c>
      <c r="K877" s="160"/>
      <c r="L877" s="160"/>
      <c r="M877" s="160">
        <v>100</v>
      </c>
      <c r="N877" s="160"/>
      <c r="O877" s="205"/>
      <c r="P877" s="160"/>
      <c r="Q877" s="160"/>
      <c r="R877" s="160">
        <v>100</v>
      </c>
      <c r="S877" s="160"/>
      <c r="T877" s="160"/>
      <c r="U877" s="205">
        <f>+Tabla1[[#This Row],[STOCK    FISICO ENERO 2021]]-Tabla1[[#This Row],[REQUISICIONES FEBRERO 2021]]</f>
        <v>0</v>
      </c>
      <c r="V877" s="205">
        <f>+Tabla1[[#This Row],[STOCK  FEBRERO 2021]]-Tabla1[[#This Row],[REQUISICIONES MARZO 2021]]+Tabla1[[#This Row],[ENTRADAS MARZO 2021]]</f>
        <v>0</v>
      </c>
      <c r="W877" s="205">
        <f>+Tabla1[[#This Row],[STOCK MARZO 2021]]-Tabla1[[#This Row],[REQUISICIONES ABRIL 2021]]+Tabla1[[#This Row],[ENTRADAS ABRIL 2021]]</f>
        <v>0</v>
      </c>
      <c r="X877" s="205">
        <f>+Tabla1[[#This Row],[STOCK ABRIL 2021]]-Tabla1[[#This Row],[REQUISICIONES MAYO 2021]]+Tabla1[[#This Row],[ENTRADAS MAYO 2021]]</f>
        <v>0</v>
      </c>
      <c r="Y877" s="205">
        <f>+Tabla1[[#This Row],[STOCK MAYO 2021]]-Tabla1[[#This Row],[REQUISICIONES JUNIO 2021]]+Tabla1[[#This Row],[ENTRADAS JUNIO 2021]]</f>
        <v>0</v>
      </c>
      <c r="Z877" s="161" t="s">
        <v>12</v>
      </c>
      <c r="AA877" s="34">
        <v>0</v>
      </c>
      <c r="AB877" s="35">
        <v>0</v>
      </c>
      <c r="AC877" s="93">
        <f>Tabla1[[#This Row],[STOCK JUNIO ]]*Tabla1[[#This Row],[COSTO UNITARIO SIN ITBIS]]</f>
        <v>0</v>
      </c>
    </row>
    <row r="878" spans="1:29" s="14" customFormat="1" x14ac:dyDescent="0.25">
      <c r="A878" s="323">
        <v>42</v>
      </c>
      <c r="B878" s="157"/>
      <c r="C878" s="129"/>
      <c r="D878" s="157"/>
      <c r="E878" s="158"/>
      <c r="F878" s="195"/>
      <c r="G878" s="159" t="s">
        <v>698</v>
      </c>
      <c r="H878" s="160">
        <v>15</v>
      </c>
      <c r="I878" s="160"/>
      <c r="J878" s="160">
        <f>+'INVENTARIO ABRIL-JUNIO 2021'!$H878-'INVENTARIO ABRIL-JUNIO 2021'!$I878</f>
        <v>15</v>
      </c>
      <c r="K878" s="160"/>
      <c r="L878" s="160"/>
      <c r="M878" s="160"/>
      <c r="N878" s="160"/>
      <c r="O878" s="205"/>
      <c r="P878" s="160"/>
      <c r="Q878" s="160"/>
      <c r="R878" s="160"/>
      <c r="S878" s="160"/>
      <c r="T878" s="160"/>
      <c r="U878" s="160">
        <f>+Tabla1[[#This Row],[STOCK    FISICO ENERO 2021]]-Tabla1[[#This Row],[REQUISICIONES FEBRERO 2021]]</f>
        <v>15</v>
      </c>
      <c r="V878" s="160">
        <f>+Tabla1[[#This Row],[STOCK  FEBRERO 2021]]-Tabla1[[#This Row],[REQUISICIONES MARZO 2021]]+Tabla1[[#This Row],[ENTRADAS MARZO 2021]]</f>
        <v>15</v>
      </c>
      <c r="W878" s="160">
        <f>+Tabla1[[#This Row],[STOCK MARZO 2021]]-Tabla1[[#This Row],[REQUISICIONES ABRIL 2021]]+Tabla1[[#This Row],[ENTRADAS ABRIL 2021]]</f>
        <v>15</v>
      </c>
      <c r="X878" s="160">
        <f>+Tabla1[[#This Row],[STOCK ABRIL 2021]]-Tabla1[[#This Row],[REQUISICIONES MAYO 2021]]+Tabla1[[#This Row],[ENTRADAS MAYO 2021]]</f>
        <v>15</v>
      </c>
      <c r="Y878" s="160">
        <f>+Tabla1[[#This Row],[STOCK MAYO 2021]]-Tabla1[[#This Row],[REQUISICIONES JUNIO 2021]]+Tabla1[[#This Row],[ENTRADAS JUNIO 2021]]</f>
        <v>15</v>
      </c>
      <c r="Z878" s="161" t="s">
        <v>12</v>
      </c>
      <c r="AA878" s="34">
        <v>0</v>
      </c>
      <c r="AB878" s="35">
        <v>0</v>
      </c>
      <c r="AC878" s="303">
        <f>Tabla1[[#This Row],[STOCK JUNIO ]]*Tabla1[[#This Row],[COSTO UNITARIO SIN ITBIS]]</f>
        <v>0</v>
      </c>
    </row>
    <row r="879" spans="1:29" s="8" customFormat="1" x14ac:dyDescent="0.25">
      <c r="A879" s="267"/>
      <c r="B879" s="101"/>
      <c r="C879" s="101"/>
      <c r="D879" s="101"/>
      <c r="E879" s="148"/>
      <c r="F879" s="101"/>
      <c r="G879" s="101"/>
      <c r="H879" s="101"/>
      <c r="I879" s="101"/>
      <c r="J879" s="101"/>
      <c r="K879" s="101"/>
      <c r="L879" s="101"/>
      <c r="M879" s="101"/>
      <c r="N879" s="101"/>
      <c r="O879" s="299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2"/>
      <c r="AA879" s="101"/>
      <c r="AB879" s="154"/>
      <c r="AC879" s="103"/>
    </row>
    <row r="880" spans="1:29" s="15" customFormat="1" ht="24.75" thickBot="1" x14ac:dyDescent="0.3">
      <c r="A880" s="268" t="s">
        <v>134</v>
      </c>
      <c r="B880" s="56"/>
      <c r="C880" s="56"/>
      <c r="D880" s="56"/>
      <c r="E880" s="141"/>
      <c r="F880" s="56"/>
      <c r="G880" s="56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55"/>
      <c r="AA880" s="58"/>
      <c r="AB880" s="58" t="s">
        <v>719</v>
      </c>
      <c r="AC880" s="59">
        <f>SUM(AC837:AC878)</f>
        <v>2894002.42</v>
      </c>
    </row>
    <row r="881" spans="1:29" ht="16.5" thickTop="1" thickBot="1" x14ac:dyDescent="0.3">
      <c r="A881" s="269" t="s">
        <v>617</v>
      </c>
      <c r="B881" s="86"/>
      <c r="C881" s="86"/>
      <c r="D881" s="86"/>
      <c r="E881" s="149"/>
      <c r="F881" s="86"/>
      <c r="G881" s="86"/>
      <c r="H881" s="87">
        <f>H193+H359+H455+H574+H610+H613+H664+H778+H794+H835+H880+H238+H309</f>
        <v>0</v>
      </c>
      <c r="I881" s="87"/>
      <c r="J881" s="87"/>
      <c r="K881" s="87"/>
      <c r="L881" s="87"/>
      <c r="M881" s="87"/>
      <c r="N881" s="87"/>
      <c r="O881" s="300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6"/>
      <c r="AA881" s="88">
        <f>AA193+AA359+AA455+AA574+AA610+AA613+AA664+AA778+AA794+AA835+AA880+AA238+AA309</f>
        <v>0</v>
      </c>
      <c r="AB881" s="89"/>
      <c r="AC881" s="90">
        <f>AC880+AC835+AC794+AC778+AC664+AC613+AC610+AC574+AC455+AC337+AC238+AC193+AC309</f>
        <v>7710111.0104861129</v>
      </c>
    </row>
    <row r="882" spans="1:29" ht="15.75" thickTop="1" x14ac:dyDescent="0.25">
      <c r="A882" s="270" t="s">
        <v>618</v>
      </c>
      <c r="B882" s="16"/>
      <c r="C882" s="16"/>
      <c r="D882" s="17"/>
      <c r="E882" s="25"/>
      <c r="F882" s="17"/>
      <c r="G882" s="17"/>
      <c r="H882" s="16"/>
      <c r="I882" s="16"/>
      <c r="J882" s="16"/>
      <c r="K882" s="16"/>
      <c r="L882" s="16"/>
      <c r="M882" s="16"/>
      <c r="N882" s="16"/>
      <c r="O882" s="270"/>
      <c r="P882" s="16"/>
      <c r="Q882" s="16"/>
      <c r="R882" s="16"/>
      <c r="S882" s="16"/>
      <c r="T882" s="16"/>
      <c r="U882" s="108"/>
      <c r="V882" s="108"/>
      <c r="W882" s="108"/>
      <c r="X882" s="108"/>
      <c r="Y882" s="108"/>
      <c r="Z882" s="324" t="s">
        <v>623</v>
      </c>
      <c r="AA882" s="324"/>
      <c r="AB882" s="324"/>
      <c r="AC882" s="25"/>
    </row>
    <row r="883" spans="1:29" x14ac:dyDescent="0.25">
      <c r="A883" s="271" t="s">
        <v>619</v>
      </c>
      <c r="B883" s="18"/>
      <c r="C883" s="18"/>
      <c r="D883" s="18"/>
      <c r="E883" s="150"/>
      <c r="F883" s="19"/>
      <c r="G883" s="19"/>
      <c r="H883" s="18"/>
      <c r="I883" s="18"/>
      <c r="J883" s="18"/>
      <c r="K883" s="18"/>
      <c r="L883" s="18"/>
      <c r="M883" s="18"/>
      <c r="N883" s="18"/>
      <c r="O883" s="271"/>
      <c r="P883" s="18"/>
      <c r="Q883" s="18"/>
      <c r="R883" s="18"/>
      <c r="S883" s="18"/>
      <c r="T883" s="18"/>
      <c r="U883" s="109"/>
      <c r="V883" s="109"/>
      <c r="W883" s="109"/>
      <c r="X883" s="109"/>
      <c r="Y883" s="109"/>
      <c r="Z883" s="325" t="s">
        <v>620</v>
      </c>
      <c r="AA883" s="325"/>
      <c r="AB883" s="325"/>
      <c r="AC883" s="25"/>
    </row>
    <row r="884" spans="1:29" x14ac:dyDescent="0.25">
      <c r="A884" s="272"/>
      <c r="B884" s="17"/>
      <c r="C884" s="17"/>
      <c r="D884" s="16"/>
      <c r="E884" s="25"/>
      <c r="F884" s="17"/>
      <c r="G884" s="17"/>
      <c r="H884" s="16"/>
      <c r="I884" s="16"/>
      <c r="J884" s="16"/>
      <c r="K884" s="16"/>
      <c r="L884" s="16"/>
      <c r="M884" s="16"/>
      <c r="N884" s="16"/>
      <c r="O884" s="270"/>
      <c r="P884" s="16"/>
      <c r="Q884" s="16"/>
      <c r="R884" s="16"/>
      <c r="S884" s="16"/>
      <c r="T884" s="16"/>
      <c r="U884" s="108"/>
      <c r="V884" s="108"/>
      <c r="W884" s="108"/>
      <c r="X884" s="108"/>
      <c r="Y884" s="108"/>
      <c r="Z884" s="16"/>
      <c r="AA884" s="17"/>
      <c r="AB884" s="155"/>
      <c r="AC884" s="25"/>
    </row>
    <row r="886" spans="1:29" ht="15.75" customHeight="1" x14ac:dyDescent="0.25">
      <c r="AC886" s="26"/>
    </row>
    <row r="887" spans="1:29" x14ac:dyDescent="0.25">
      <c r="AC887" s="26"/>
    </row>
    <row r="888" spans="1:29" x14ac:dyDescent="0.25">
      <c r="AC888"/>
    </row>
  </sheetData>
  <sheetProtection algorithmName="SHA-512" hashValue="3oIctJGsWFqRglQ5Gl2z+/SrznMSB3abA+sGPfjnbvDqh3xTHHDhwSLVCWAwHtfE01cykP0Kq/4eOH/bV02XLA==" saltValue="FxVm4rJ5HYnmJ3SbnWRzFg==" spinCount="100000" sheet="1" objects="1" scenarios="1"/>
  <sortState ref="A726:AA741">
    <sortCondition ref="G726:G741"/>
  </sortState>
  <mergeCells count="6">
    <mergeCell ref="Z882:AB882"/>
    <mergeCell ref="Z883:AB883"/>
    <mergeCell ref="A2:Z2"/>
    <mergeCell ref="A3:Z3"/>
    <mergeCell ref="A5:Z5"/>
    <mergeCell ref="A7:AC7"/>
  </mergeCells>
  <printOptions horizontalCentered="1"/>
  <pageMargins left="0" right="0" top="0" bottom="0" header="0" footer="0"/>
  <pageSetup paperSize="8" scale="75" orientation="landscape" r:id="rId1"/>
  <ignoredErrors>
    <ignoredError sqref="AC845 AC843" calculatedColumn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ABRIL-JUNIO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2021-12-14T13:22:18Z</cp:lastPrinted>
  <dcterms:created xsi:type="dcterms:W3CDTF">2020-12-08T15:52:21Z</dcterms:created>
  <dcterms:modified xsi:type="dcterms:W3CDTF">2025-03-27T12:45:30Z</dcterms:modified>
</cp:coreProperties>
</file>